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БП для франчайзи" sheetId="1" state="visible" r:id="rId2"/>
  </sheets>
  <calcPr iterateCount="100" refMode="A1" iterate="tru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<sst xmlns="http://schemas.openxmlformats.org/spreadsheetml/2006/main" count="142" uniqueCount="105">
  <si>
    <t xml:space="preserve">Финансовая модель для франчайзи</t>
  </si>
  <si>
    <t xml:space="preserve">Выберите нужный пакет:</t>
  </si>
  <si>
    <t xml:space="preserve">Время первых</t>
  </si>
  <si>
    <t xml:space="preserve">Быстрый Старт</t>
  </si>
  <si>
    <t xml:space="preserve">Бизнес Класс</t>
  </si>
  <si>
    <t xml:space="preserve">Открытие бизнеса :</t>
  </si>
  <si>
    <t xml:space="preserve">сроки</t>
  </si>
  <si>
    <t xml:space="preserve">Базовые показатели среднего месяца</t>
  </si>
  <si>
    <t xml:space="preserve">Итоговая оценка проекта</t>
  </si>
  <si>
    <t xml:space="preserve">Материалы для брендирования (машины), комплект фирменной одежды</t>
  </si>
  <si>
    <t xml:space="preserve">со второго месяца</t>
  </si>
  <si>
    <t xml:space="preserve">Оборот в месяц (плановый)</t>
  </si>
  <si>
    <t xml:space="preserve">Название показателей</t>
  </si>
  <si>
    <t xml:space="preserve">Значение показателей</t>
  </si>
  <si>
    <t xml:space="preserve">Набор инструментов (2 шт.)</t>
  </si>
  <si>
    <t xml:space="preserve">через 3 недели от старта</t>
  </si>
  <si>
    <t xml:space="preserve">Заявок в день</t>
  </si>
  <si>
    <t xml:space="preserve">Внутреняя норма доходности IRR</t>
  </si>
  <si>
    <t xml:space="preserve">Рекламный бюджет для заявок в городе:</t>
  </si>
  <si>
    <t xml:space="preserve">Чеков в среднем, шт.</t>
  </si>
  <si>
    <t xml:space="preserve">Чистая приведённая стоимость NPV</t>
  </si>
  <si>
    <t xml:space="preserve">AVITO (2 объявления и места в ТОП)</t>
  </si>
  <si>
    <t xml:space="preserve">через 6 недель от старта</t>
  </si>
  <si>
    <t xml:space="preserve">Средний чек, руб.</t>
  </si>
  <si>
    <t xml:space="preserve">Дисконтированаая рентабельность PI</t>
  </si>
  <si>
    <t xml:space="preserve">Страница на сайте для города Партнера</t>
  </si>
  <si>
    <t xml:space="preserve">через 2 недели от старта</t>
  </si>
  <si>
    <t xml:space="preserve">Период оккупаемости</t>
  </si>
  <si>
    <t xml:space="preserve">Контекстная реклама</t>
  </si>
  <si>
    <t xml:space="preserve">Местные паблики в соц.сетях + таргетированная реклама</t>
  </si>
  <si>
    <t xml:space="preserve">через 5 недель от старта</t>
  </si>
  <si>
    <t xml:space="preserve">Базовая покупка запчастей</t>
  </si>
  <si>
    <t xml:space="preserve">Оборотные средства (финансовый резерв)</t>
  </si>
  <si>
    <t xml:space="preserve">Затраты на оформление ИП и прочее</t>
  </si>
  <si>
    <t xml:space="preserve">Паушальный взнос:</t>
  </si>
  <si>
    <t xml:space="preserve">Итого:</t>
  </si>
  <si>
    <t xml:space="preserve"> </t>
  </si>
  <si>
    <t xml:space="preserve">Прогнозируемый период</t>
  </si>
  <si>
    <t xml:space="preserve">1 месяц</t>
  </si>
  <si>
    <t xml:space="preserve">2 месяц</t>
  </si>
  <si>
    <t xml:space="preserve">3 месяц</t>
  </si>
  <si>
    <t xml:space="preserve">4 месяц</t>
  </si>
  <si>
    <t xml:space="preserve">5 месяц</t>
  </si>
  <si>
    <t xml:space="preserve">6 месяц </t>
  </si>
  <si>
    <t xml:space="preserve">7 месяц</t>
  </si>
  <si>
    <t xml:space="preserve">8 месяц</t>
  </si>
  <si>
    <t xml:space="preserve">9 месяц </t>
  </si>
  <si>
    <t xml:space="preserve">10 месяц</t>
  </si>
  <si>
    <t xml:space="preserve">11 месяц</t>
  </si>
  <si>
    <t xml:space="preserve">12 месяц</t>
  </si>
  <si>
    <t xml:space="preserve">13 месяц</t>
  </si>
  <si>
    <t xml:space="preserve">14 месяц</t>
  </si>
  <si>
    <t xml:space="preserve">15 месяц</t>
  </si>
  <si>
    <t xml:space="preserve">16 месяц</t>
  </si>
  <si>
    <t xml:space="preserve">17 месяц</t>
  </si>
  <si>
    <t xml:space="preserve">18 месяц</t>
  </si>
  <si>
    <t xml:space="preserve">19 месяц</t>
  </si>
  <si>
    <t xml:space="preserve">20 месяц</t>
  </si>
  <si>
    <t xml:space="preserve">21 месяц</t>
  </si>
  <si>
    <t xml:space="preserve">22 месяц</t>
  </si>
  <si>
    <t xml:space="preserve">23 месяц</t>
  </si>
  <si>
    <t xml:space="preserve">24 месяц</t>
  </si>
  <si>
    <t xml:space="preserve">Итого</t>
  </si>
  <si>
    <t xml:space="preserve">Доходы</t>
  </si>
  <si>
    <t xml:space="preserve">Доход от основной деятельности</t>
  </si>
  <si>
    <t xml:space="preserve">Доход от продажи запчастей</t>
  </si>
  <si>
    <t xml:space="preserve">Расходы</t>
  </si>
  <si>
    <t xml:space="preserve">Расход на закупку запчастей (30%)</t>
  </si>
  <si>
    <t xml:space="preserve">Расход на закупку запчастей на продажу</t>
  </si>
  <si>
    <t xml:space="preserve">Необходимое количество сотрудников, помимо собственника</t>
  </si>
  <si>
    <t xml:space="preserve">Заработная плата мастера ( 30% от основной деятельности)</t>
  </si>
  <si>
    <t xml:space="preserve">Реклама и маркетинг</t>
  </si>
  <si>
    <t xml:space="preserve">Роялти</t>
  </si>
  <si>
    <t xml:space="preserve">Расходы на CRM систему</t>
  </si>
  <si>
    <t xml:space="preserve">Прочие расходы</t>
  </si>
  <si>
    <t xml:space="preserve">Налоги и обязательные платежи</t>
  </si>
  <si>
    <t xml:space="preserve">Стоимость патента в год, средняя 15000 рублей, зависит от региона и численности населения в городе</t>
  </si>
  <si>
    <t xml:space="preserve">Фиксированный платеж ИП (в год 36.238р)</t>
  </si>
  <si>
    <t xml:space="preserve">Чистая прибыль</t>
  </si>
  <si>
    <t xml:space="preserve">Накопительная чистая прибыль</t>
  </si>
  <si>
    <t xml:space="preserve">Оккупаемость инвестиций</t>
  </si>
  <si>
    <t xml:space="preserve">Рентабельность</t>
  </si>
  <si>
    <t xml:space="preserve">EBITDA</t>
  </si>
  <si>
    <t xml:space="preserve">Прогноз FCFF</t>
  </si>
  <si>
    <t xml:space="preserve">№ Месяца</t>
  </si>
  <si>
    <t xml:space="preserve">2 года</t>
  </si>
  <si>
    <t xml:space="preserve">Выручка</t>
  </si>
  <si>
    <t xml:space="preserve">FCFF</t>
  </si>
  <si>
    <t xml:space="preserve">Расчет показателей (IRR,NPV,PI,PP)</t>
  </si>
  <si>
    <t xml:space="preserve">Расчет IRR (внутренняя норма доходности)</t>
  </si>
  <si>
    <t xml:space="preserve">Расчет NPV (чистая приведенная стоимость)</t>
  </si>
  <si>
    <t xml:space="preserve">Расчет PI (дисконтированная рентабельность)</t>
  </si>
  <si>
    <t xml:space="preserve">Расчет PP (период окупаемости)</t>
  </si>
  <si>
    <t xml:space="preserve">Номер периода (год)</t>
  </si>
  <si>
    <t xml:space="preserve">Денежный поток</t>
  </si>
  <si>
    <t xml:space="preserve">Первоначальные затраты</t>
  </si>
  <si>
    <t xml:space="preserve">Денежный поток нарастающим итогом</t>
  </si>
  <si>
    <t xml:space="preserve">IRR=</t>
  </si>
  <si>
    <t xml:space="preserve">NPV=</t>
  </si>
  <si>
    <t xml:space="preserve">PI=</t>
  </si>
  <si>
    <t xml:space="preserve">Срок оккупаемости</t>
  </si>
  <si>
    <t xml:space="preserve">Один год</t>
  </si>
  <si>
    <t xml:space="preserve">Ставка дисконтирования</t>
  </si>
  <si>
    <t xml:space="preserve">Текущая стоимость</t>
  </si>
  <si>
    <t xml:space="preserve">Расчет ставки дисконтирования, как средневзвешенная ставка, учитывающая структуру капитала проекта, + средние риски проекта + риски управления + прогнозируемая инфляция на 2019 год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</si>
</sst>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\ [$₽-419]"/>
    <numFmt numFmtId="166" formatCode="#,##0&quot;р.&quot;"/>
    <numFmt numFmtId="167" formatCode="0%"/>
    <numFmt numFmtId="168" formatCode="#,##0.00&quot; ₽&quot;_);[RED]\(#,##0.00&quot; ₽)&quot;"/>
    <numFmt numFmtId="169" formatCode="#,##0&quot; ₽&quot;_);[RED]\(#,##0&quot; ₽)&quot;"/>
    <numFmt numFmtId="170" formatCode="#,##0"/>
    <numFmt numFmtId="171" formatCode="0.00"/>
    <numFmt numFmtId="172" formatCode="_(\$* #,##0.00_);_(\$* \(#,##0.00\);_(\$* \-??_);_(@_)"/>
    <numFmt numFmtId="173" formatCode="_-* #,##0\ [$₽-419]_-;\-* #,##0\ [$₽-419]_-;_-* \-??\ [$₽-419]_-;_-@_-"/>
    <numFmt numFmtId="174" formatCode="[$$-409]#,##0"/>
    <numFmt numFmtId="175" formatCode="_-* #,##0.00&quot; ₽&quot;_-;\-* #,##0.00&quot; ₽&quot;_-;_-* \-??&quot; ₽&quot;_-;_-@_-"/>
    <numFmt numFmtId="176" formatCode="#,##0.00&quot; ₽&quot;;[RED]\-#,##0.00&quot; ₽&quot;"/>
    <numFmt numFmtId="177" formatCode="0.0000%"/>
  </numFmts>
  <fonts count="20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20"/>
      <name val="Calibri"/>
      <family val="2"/>
      <charset val="1"/>
    </font>
    <font>
      <b val="true"/>
      <sz val="16"/>
      <color rgb="FF558ED5"/>
      <name val="a_FuturaOrto"/>
      <family val="0"/>
      <charset val="204"/>
    </font>
    <font>
      <b val="true"/>
      <sz val="20"/>
      <color rgb="FF984807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C00000"/>
      <name val="Calibri"/>
      <family val="2"/>
      <charset val="1"/>
    </font>
    <font>
      <sz val="11"/>
      <color rgb="FF215968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B3A2C7"/>
      </patternFill>
    </fill>
    <fill>
      <patternFill patternType="solid">
        <fgColor rgb="FFB3A2C7"/>
        <bgColor rgb="FF95B3D7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  <fill>
      <patternFill patternType="solid">
        <fgColor rgb="FF9999FF"/>
        <bgColor rgb="FF95B3D7"/>
      </patternFill>
    </fill>
  </fills>
  <borders count="5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2" fontId="1" fillId="0" borderId="0" applyFont="true" applyBorder="false" applyAlignment="false" applyProtection="false"/>
    <xf numFmtId="16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center" textRotation="0" wrapText="false" indent="2" shrinkToFit="false"/>
      <protection locked="true" hidden="false"/>
    </xf>
    <xf numFmtId="164" fontId="9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2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3" borderId="3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3" borderId="4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4" borderId="1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4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5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12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4" fillId="2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5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2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5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2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5" borderId="2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12" fillId="0" borderId="2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2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2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5" fontId="4" fillId="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2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2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3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2" borderId="2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2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2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3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2" borderId="3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3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3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1" fillId="2" borderId="2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2" borderId="2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2" borderId="3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2" borderId="3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2" borderId="2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2" borderId="2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1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3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3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2" borderId="3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9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4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4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2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4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2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4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2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4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4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1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4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3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4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5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5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5" borderId="4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18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3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2" borderId="3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3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4" fillId="2" borderId="18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2" borderId="1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0" fillId="2" borderId="4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3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5" borderId="3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0" fillId="5" borderId="3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5" borderId="3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5" borderId="3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5" borderId="1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0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5" borderId="4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2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5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5" borderId="3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5" borderId="3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2" borderId="2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0" fillId="2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4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2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2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3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2" fillId="0" borderId="15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2" fillId="0" borderId="1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12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5" fontId="12" fillId="0" borderId="36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12" fillId="0" borderId="3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2" fillId="0" borderId="1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2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2" fillId="0" borderId="15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2" fillId="0" borderId="4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2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2" fillId="0" borderId="33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12" fillId="0" borderId="3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2" fillId="0" borderId="2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5" borderId="7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6" fontId="12" fillId="5" borderId="48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5" borderId="2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5" borderId="21" xfId="19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12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5" fontId="12" fillId="5" borderId="7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12" fillId="5" borderId="7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5" fontId="12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5" fontId="12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3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7" fontId="12" fillId="5" borderId="4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2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6" fontId="12" fillId="5" borderId="2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7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5" borderId="7" xfId="19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558ED5"/>
      <rgbColor rgb="FF9999FF"/>
      <rgbColor rgb="FFC0504D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B3A2C7"/>
      <rgbColor rgb="FFFFCC99"/>
      <rgbColor rgb="FF3366FF"/>
      <rgbColor rgb="FF33CCCC"/>
      <rgbColor rgb="FF9BBB59"/>
      <rgbColor rgb="FFFFCC00"/>
      <rgbColor rgb="FFFF9900"/>
      <rgbColor rgb="FFFF6600"/>
      <rgbColor rgb="FF4F81BD"/>
      <rgbColor rgb="FF969696"/>
      <rgbColor rgb="FF215968"/>
      <rgbColor rgb="FF339966"/>
      <rgbColor rgb="FF003300"/>
      <rgbColor rgb="FF333300"/>
      <rgbColor rgb="FF984807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'БП для франчайзи'!$B$56:$B$56</c:f>
              <c:strCache>
                <c:ptCount val="1"/>
                <c:pt idx="0">
                  <c:v>Выручка</c:v>
                </c:pt>
              </c:strCache>
            </c:strRef>
          </c:tx>
          <c:spPr>
            <a:solidFill>
              <a:srgbClr val="4f81bd"/>
            </a:solidFill>
            <a:ln w="37800">
              <a:solidFill>
                <a:srgbClr val="4f81bd"/>
              </a:solidFill>
              <a:round/>
            </a:ln>
          </c:spPr>
          <c:marker>
            <c:symbol val="circle"/>
            <c:size val="5"/>
            <c:spPr>
              <a:solidFill>
                <a:srgbClr val="4f81bd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25200">
                <a:solidFill>
                  <a:srgbClr val="4f81bd"/>
                </a:solidFill>
                <a:round/>
              </a:ln>
            </c:spPr>
            <c:trendlineType val="linear"/>
            <c:forward val="0"/>
            <c:backward val="0"/>
            <c:dispRSqr val="1"/>
            <c:dispEq val="1"/>
          </c:trendline>
          <c:cat>
            <c:strRef>
              <c:f>'БП для франчайзи'!$C$55:$Z$55</c:f>
              <c:strCache>
                <c:ptCount val="24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 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 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  <c:pt idx="19">
                  <c:v>20 месяц</c:v>
                </c:pt>
                <c:pt idx="20">
                  <c:v>21 месяц</c:v>
                </c:pt>
                <c:pt idx="21">
                  <c:v>22 месяц</c:v>
                </c:pt>
                <c:pt idx="22">
                  <c:v>23 месяц</c:v>
                </c:pt>
                <c:pt idx="23">
                  <c:v>24 месяц</c:v>
                </c:pt>
              </c:strCache>
            </c:strRef>
          </c:cat>
          <c:val>
            <c:numRef>
              <c:f>'БП для франчайзи'!$C$56:$Z$56</c:f>
              <c:numCache>
                <c:formatCode>General</c:formatCode>
                <c:ptCount val="24"/>
                <c:pt idx="0">
                  <c:v>0</c:v>
                </c:pt>
                <c:pt idx="1">
                  <c:v>107200</c:v>
                </c:pt>
                <c:pt idx="2">
                  <c:v>207200</c:v>
                </c:pt>
                <c:pt idx="3">
                  <c:v>208080</c:v>
                </c:pt>
                <c:pt idx="4">
                  <c:v>283448</c:v>
                </c:pt>
                <c:pt idx="5">
                  <c:v>383712.8</c:v>
                </c:pt>
                <c:pt idx="6">
                  <c:v>384884.08</c:v>
                </c:pt>
                <c:pt idx="7">
                  <c:v>386172.488</c:v>
                </c:pt>
                <c:pt idx="8">
                  <c:v>387589.7368</c:v>
                </c:pt>
                <c:pt idx="9">
                  <c:v>389148.71048</c:v>
                </c:pt>
                <c:pt idx="10">
                  <c:v>390863.581528</c:v>
                </c:pt>
                <c:pt idx="11">
                  <c:v>405149.9396808</c:v>
                </c:pt>
                <c:pt idx="12">
                  <c:v>407224.93364888</c:v>
                </c:pt>
                <c:pt idx="13">
                  <c:v>409507.427013768</c:v>
                </c:pt>
                <c:pt idx="14">
                  <c:v>424418.169715145</c:v>
                </c:pt>
                <c:pt idx="15">
                  <c:v>439579.986686659</c:v>
                </c:pt>
                <c:pt idx="16">
                  <c:v>430217.985355325</c:v>
                </c:pt>
                <c:pt idx="17">
                  <c:v>445959.783890858</c:v>
                </c:pt>
                <c:pt idx="18">
                  <c:v>449635.762279944</c:v>
                </c:pt>
                <c:pt idx="19">
                  <c:v>453679.338507938</c:v>
                </c:pt>
                <c:pt idx="20">
                  <c:v>470527.272358732</c:v>
                </c:pt>
                <c:pt idx="21">
                  <c:v>463019.999594605</c:v>
                </c:pt>
                <c:pt idx="22">
                  <c:v>480801.999554065</c:v>
                </c:pt>
                <c:pt idx="23">
                  <c:v>474322.199509472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'БП для франчайзи'!$B$57:$B$57</c:f>
              <c:strCache>
                <c:ptCount val="1"/>
                <c:pt idx="0">
                  <c:v>FCFF</c:v>
                </c:pt>
              </c:strCache>
            </c:strRef>
          </c:tx>
          <c:spPr>
            <a:solidFill>
              <a:srgbClr val="c0504d"/>
            </a:solidFill>
            <a:ln w="37800">
              <a:solidFill>
                <a:srgbClr val="c0504d"/>
              </a:solidFill>
              <a:round/>
            </a:ln>
          </c:spPr>
          <c:marker>
            <c:symbol val="circle"/>
            <c:size val="5"/>
            <c:spPr>
              <a:solidFill>
                <a:srgbClr val="c0504d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25200">
                <a:solidFill>
                  <a:srgbClr val="c0504d"/>
                </a:solidFill>
                <a:round/>
              </a:ln>
            </c:spPr>
            <c:trendlineType val="linear"/>
            <c:forward val="0"/>
            <c:backward val="0"/>
            <c:dispRSqr val="1"/>
            <c:dispEq val="1"/>
          </c:trendline>
          <c:cat>
            <c:strRef>
              <c:f>'БП для франчайзи'!$C$55:$Z$55</c:f>
              <c:strCache>
                <c:ptCount val="24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 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 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  <c:pt idx="19">
                  <c:v>20 месяц</c:v>
                </c:pt>
                <c:pt idx="20">
                  <c:v>21 месяц</c:v>
                </c:pt>
                <c:pt idx="21">
                  <c:v>22 месяц</c:v>
                </c:pt>
                <c:pt idx="22">
                  <c:v>23 месяц</c:v>
                </c:pt>
                <c:pt idx="23">
                  <c:v>24 месяц</c:v>
                </c:pt>
              </c:strCache>
            </c:strRef>
          </c:cat>
          <c:val>
            <c:numRef>
              <c:f>'БП для франчайзи'!$C$57:$Z$57</c:f>
              <c:numCache>
                <c:formatCode>General</c:formatCode>
                <c:ptCount val="24"/>
                <c:pt idx="0">
                  <c:v>-4269</c:v>
                </c:pt>
                <c:pt idx="1">
                  <c:v>27350</c:v>
                </c:pt>
                <c:pt idx="2">
                  <c:v>39349</c:v>
                </c:pt>
                <c:pt idx="3">
                  <c:v>39613</c:v>
                </c:pt>
                <c:pt idx="4">
                  <c:v>62223.4</c:v>
                </c:pt>
                <c:pt idx="5">
                  <c:v>92302.84</c:v>
                </c:pt>
                <c:pt idx="6">
                  <c:v>92654.224</c:v>
                </c:pt>
                <c:pt idx="7">
                  <c:v>93040.7464</c:v>
                </c:pt>
                <c:pt idx="8">
                  <c:v>93465.92104</c:v>
                </c:pt>
                <c:pt idx="9">
                  <c:v>93933.613144</c:v>
                </c:pt>
                <c:pt idx="10">
                  <c:v>94448.0744584</c:v>
                </c:pt>
                <c:pt idx="11">
                  <c:v>98733.98190424</c:v>
                </c:pt>
                <c:pt idx="12">
                  <c:v>98695.480094664</c:v>
                </c:pt>
                <c:pt idx="13">
                  <c:v>99380.2281041304</c:v>
                </c:pt>
                <c:pt idx="14">
                  <c:v>103853.450914543</c:v>
                </c:pt>
                <c:pt idx="15">
                  <c:v>108401.996005998</c:v>
                </c:pt>
                <c:pt idx="16">
                  <c:v>105593.395606598</c:v>
                </c:pt>
                <c:pt idx="17">
                  <c:v>110315.935167257</c:v>
                </c:pt>
                <c:pt idx="18">
                  <c:v>111419.728683983</c:v>
                </c:pt>
                <c:pt idx="19">
                  <c:v>112632.801552381</c:v>
                </c:pt>
                <c:pt idx="20">
                  <c:v>117687.18170762</c:v>
                </c:pt>
                <c:pt idx="21">
                  <c:v>115434.999878381</c:v>
                </c:pt>
                <c:pt idx="22">
                  <c:v>120769.59986622</c:v>
                </c:pt>
                <c:pt idx="23">
                  <c:v>118825.659852842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'БП для франчайзи'!$B$52:$B$52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rgbClr val="9bbb59"/>
            </a:solidFill>
            <a:ln w="37800">
              <a:solidFill>
                <a:srgbClr val="9bbb59"/>
              </a:solidFill>
              <a:round/>
            </a:ln>
          </c:spPr>
          <c:marker>
            <c:symbol val="circle"/>
            <c:size val="5"/>
            <c:spPr>
              <a:solidFill>
                <a:srgbClr val="9bbb59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25200">
                <a:solidFill>
                  <a:srgbClr val="9bbb59"/>
                </a:solidFill>
                <a:round/>
              </a:ln>
            </c:spPr>
            <c:trendlineType val="linear"/>
            <c:forward val="0"/>
            <c:backward val="0"/>
            <c:dispRSqr val="1"/>
            <c:dispEq val="1"/>
          </c:trendline>
          <c:cat>
            <c:strRef>
              <c:f>'БП для франчайзи'!$C$55:$Z$55</c:f>
              <c:strCache>
                <c:ptCount val="24"/>
                <c:pt idx="0">
                  <c:v>1 месяц</c:v>
                </c:pt>
                <c:pt idx="1">
                  <c:v>2 месяц</c:v>
                </c:pt>
                <c:pt idx="2">
                  <c:v>3 месяц</c:v>
                </c:pt>
                <c:pt idx="3">
                  <c:v>4 месяц</c:v>
                </c:pt>
                <c:pt idx="4">
                  <c:v>5 месяц</c:v>
                </c:pt>
                <c:pt idx="5">
                  <c:v>6 месяц </c:v>
                </c:pt>
                <c:pt idx="6">
                  <c:v>7 месяц</c:v>
                </c:pt>
                <c:pt idx="7">
                  <c:v>8 месяц</c:v>
                </c:pt>
                <c:pt idx="8">
                  <c:v>9 месяц </c:v>
                </c:pt>
                <c:pt idx="9">
                  <c:v>10 месяц</c:v>
                </c:pt>
                <c:pt idx="10">
                  <c:v>11 месяц</c:v>
                </c:pt>
                <c:pt idx="11">
                  <c:v>12 месяц</c:v>
                </c:pt>
                <c:pt idx="12">
                  <c:v>13 месяц</c:v>
                </c:pt>
                <c:pt idx="13">
                  <c:v>14 месяц</c:v>
                </c:pt>
                <c:pt idx="14">
                  <c:v>15 месяц</c:v>
                </c:pt>
                <c:pt idx="15">
                  <c:v>16 месяц</c:v>
                </c:pt>
                <c:pt idx="16">
                  <c:v>17 месяц</c:v>
                </c:pt>
                <c:pt idx="17">
                  <c:v>18 месяц</c:v>
                </c:pt>
                <c:pt idx="18">
                  <c:v>19 месяц</c:v>
                </c:pt>
                <c:pt idx="19">
                  <c:v>20 месяц</c:v>
                </c:pt>
                <c:pt idx="20">
                  <c:v>21 месяц</c:v>
                </c:pt>
                <c:pt idx="21">
                  <c:v>22 месяц</c:v>
                </c:pt>
                <c:pt idx="22">
                  <c:v>23 месяц</c:v>
                </c:pt>
                <c:pt idx="23">
                  <c:v>24 месяц</c:v>
                </c:pt>
              </c:strCache>
            </c:strRef>
          </c:cat>
          <c:val>
            <c:numRef>
              <c:f>'БП для франчайзи'!$C$52:$Z$52</c:f>
              <c:numCache>
                <c:formatCode>General</c:formatCode>
                <c:ptCount val="24"/>
                <c:pt idx="0">
                  <c:v>0</c:v>
                </c:pt>
                <c:pt idx="1">
                  <c:v>31619</c:v>
                </c:pt>
                <c:pt idx="2">
                  <c:v>43619</c:v>
                </c:pt>
                <c:pt idx="3">
                  <c:v>43883</c:v>
                </c:pt>
                <c:pt idx="4">
                  <c:v>66493.4</c:v>
                </c:pt>
                <c:pt idx="5">
                  <c:v>96572.84</c:v>
                </c:pt>
                <c:pt idx="6">
                  <c:v>96924.224</c:v>
                </c:pt>
                <c:pt idx="7">
                  <c:v>97310.7464</c:v>
                </c:pt>
                <c:pt idx="8">
                  <c:v>97735.92104</c:v>
                </c:pt>
                <c:pt idx="9">
                  <c:v>98203.613144</c:v>
                </c:pt>
                <c:pt idx="10">
                  <c:v>98718.0744584</c:v>
                </c:pt>
                <c:pt idx="11">
                  <c:v>103003.98190424</c:v>
                </c:pt>
                <c:pt idx="12">
                  <c:v>103355.480094664</c:v>
                </c:pt>
                <c:pt idx="13">
                  <c:v>104040.22810413</c:v>
                </c:pt>
                <c:pt idx="14">
                  <c:v>108513.450914543</c:v>
                </c:pt>
                <c:pt idx="15">
                  <c:v>113061.996005998</c:v>
                </c:pt>
                <c:pt idx="16">
                  <c:v>110253.395606598</c:v>
                </c:pt>
                <c:pt idx="17">
                  <c:v>114975.935167257</c:v>
                </c:pt>
                <c:pt idx="18">
                  <c:v>116078.728683983</c:v>
                </c:pt>
                <c:pt idx="19">
                  <c:v>117291.801552381</c:v>
                </c:pt>
                <c:pt idx="20">
                  <c:v>122346.18170762</c:v>
                </c:pt>
                <c:pt idx="21">
                  <c:v>120093.999878381</c:v>
                </c:pt>
                <c:pt idx="22">
                  <c:v>125428.59986622</c:v>
                </c:pt>
                <c:pt idx="23">
                  <c:v>123484.659852842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84014979"/>
        <c:axId val="58362889"/>
      </c:lineChart>
      <c:catAx>
        <c:axId val="84014979"/>
        <c:scaling>
          <c:orientation val="minMax"/>
        </c:scaling>
        <c:delete val="0"/>
        <c:axPos val="b"/>
        <c:numFmt formatCode="#,##0.00&quot; ₽&quot;_);[RED]\(#,##0.00&quot; ₽)&quot;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8362889"/>
        <c:crossesAt val="0"/>
        <c:auto val="1"/>
        <c:lblAlgn val="ctr"/>
        <c:lblOffset val="100"/>
      </c:catAx>
      <c:valAx>
        <c:axId val="58362889"/>
        <c:scaling>
          <c:orientation val="minMax"/>
        </c:scaling>
        <c:delete val="0"/>
        <c:axPos val="l"/>
        <c:majorGridlines>
          <c:spPr>
            <a:ln w="12600">
              <a:solidFill>
                <a:srgbClr val="d9d9d9"/>
              </a:solidFill>
              <a:round/>
            </a:ln>
          </c:spPr>
        </c:majorGridlines>
        <c:numFmt formatCode="#,##0\ [$₽-419]" sourceLinked="1"/>
        <c:majorTickMark val="none"/>
        <c:minorTickMark val="none"/>
        <c:tickLblPos val="nextTo"/>
        <c:spPr>
          <a:ln w="1260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4014979"/>
        <c:crossesAt val="0"/>
        <c:crossBetween val="midCat"/>
      </c:valAx>
      <c:spPr>
        <a:noFill/>
        <a:ln w="12600"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zero"/>
  </c:chart>
  <c:spPr>
    <a:solidFill>
      <a:srgbClr val="ffffff"/>
    </a:solidFill>
    <a:ln w="1260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41760</xdr:colOff>
      <xdr:row>59</xdr:row>
      <xdr:rowOff>48960</xdr:rowOff>
    </xdr:from>
    <xdr:to>
      <xdr:col>6</xdr:col>
      <xdr:colOff>230400</xdr:colOff>
      <xdr:row>74</xdr:row>
      <xdr:rowOff>35640</xdr:rowOff>
    </xdr:to>
    <xdr:graphicFrame>
      <xdr:nvGraphicFramePr>
        <xdr:cNvPr id="0" name="Chart 1"/>
        <xdr:cNvGraphicFramePr/>
      </xdr:nvGraphicFramePr>
      <xdr:xfrm>
        <a:off x="922320" y="11163240"/>
        <a:ext cx="11330280" cy="2415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C95"/>
  <sheetViews>
    <sheetView showFormulas="false" showGridLines="true" showRowColHeaders="true" showZeros="true" rightToLeft="false" tabSelected="true" showOutlineSymbols="true" defaultGridColor="true" view="normal" topLeftCell="A44" colorId="64" zoomScale="70" zoomScaleNormal="70" zoomScalePageLayoutView="100" workbookViewId="0">
      <selection pane="topLeft" activeCell="AI43" activeCellId="0" sqref="AI43"/>
    </sheetView>
  </sheetViews>
  <sheetFormatPr defaultRowHeight="12.75" zeroHeight="false" outlineLevelRow="1" outlineLevelCol="0"/>
  <cols>
    <col collapsed="false" customWidth="true" hidden="false" outlineLevel="0" max="1" min="1" style="1" width="12.48"/>
    <col collapsed="false" customWidth="true" hidden="false" outlineLevel="0" max="2" min="2" style="1" width="66.76"/>
    <col collapsed="false" customWidth="true" hidden="false" outlineLevel="0" max="3" min="3" style="1" width="19.52"/>
    <col collapsed="false" customWidth="true" hidden="false" outlineLevel="0" max="4" min="4" style="1" width="23.97"/>
    <col collapsed="false" customWidth="true" hidden="false" outlineLevel="0" max="5" min="5" style="1" width="25.12"/>
    <col collapsed="false" customWidth="true" hidden="false" outlineLevel="0" max="6" min="6" style="1" width="22.54"/>
    <col collapsed="false" customWidth="true" hidden="false" outlineLevel="0" max="7" min="7" style="1" width="23.54"/>
    <col collapsed="false" customWidth="true" hidden="false" outlineLevel="0" max="8" min="8" style="1" width="21.53"/>
    <col collapsed="false" customWidth="true" hidden="false" outlineLevel="0" max="9" min="9" style="1" width="17.79"/>
    <col collapsed="false" customWidth="true" hidden="false" outlineLevel="0" max="10" min="10" style="1" width="26.13"/>
    <col collapsed="false" customWidth="true" hidden="false" outlineLevel="0" max="12" min="11" style="1" width="12.91"/>
    <col collapsed="false" customWidth="true" hidden="false" outlineLevel="0" max="13" min="13" style="1" width="21.53"/>
    <col collapsed="false" customWidth="true" hidden="false" outlineLevel="0" max="14" min="14" style="1" width="26.13"/>
    <col collapsed="false" customWidth="true" hidden="false" outlineLevel="0" max="15" min="15" style="1" width="20.24"/>
    <col collapsed="false" customWidth="true" hidden="false" outlineLevel="0" max="16" min="16" style="1" width="40.06"/>
    <col collapsed="false" customWidth="true" hidden="false" outlineLevel="0" max="26" min="17" style="1" width="12.91"/>
    <col collapsed="false" customWidth="true" hidden="false" outlineLevel="0" max="27" min="27" style="1" width="18.94"/>
    <col collapsed="false" customWidth="true" hidden="false" outlineLevel="0" max="28" min="28" style="1" width="12.91"/>
    <col collapsed="false" customWidth="true" hidden="false" outlineLevel="0" max="29" min="29" style="1" width="19.95"/>
    <col collapsed="false" customWidth="true" hidden="false" outlineLevel="0" max="257" min="30" style="1" width="8.89"/>
    <col collapsed="false" customWidth="true" hidden="false" outlineLevel="0" max="1025" min="258" style="0" width="8.89"/>
  </cols>
  <sheetData>
    <row r="2" customFormat="false" ht="18" hidden="false" customHeight="true" outlineLevel="0" collapsed="false">
      <c r="B2" s="2" t="s">
        <v>0</v>
      </c>
      <c r="C2" s="3"/>
      <c r="D2" s="4"/>
    </row>
    <row r="3" customFormat="false" ht="18" hidden="false" customHeight="true" outlineLevel="0" collapsed="false">
      <c r="B3" s="5"/>
      <c r="C3" s="3"/>
      <c r="D3" s="4"/>
      <c r="E3" s="4"/>
      <c r="F3" s="4"/>
      <c r="G3" s="4"/>
    </row>
    <row r="4" customFormat="false" ht="18" hidden="false" customHeight="true" outlineLevel="0" collapsed="false">
      <c r="B4" s="6" t="s">
        <v>1</v>
      </c>
      <c r="C4" s="7"/>
      <c r="D4" s="7"/>
      <c r="E4" s="7"/>
    </row>
    <row r="5" customFormat="false" ht="26.25" hidden="false" customHeight="true" outlineLevel="0" collapsed="false">
      <c r="B5" s="8" t="s">
        <v>2</v>
      </c>
      <c r="C5" s="7"/>
      <c r="D5" s="9" t="s">
        <v>3</v>
      </c>
      <c r="E5" s="10" t="s">
        <v>4</v>
      </c>
      <c r="F5" s="11" t="s">
        <v>2</v>
      </c>
    </row>
    <row r="6" customFormat="false" ht="12.75" hidden="false" customHeight="false" outlineLevel="0" collapsed="false">
      <c r="F6" s="12"/>
      <c r="G6" s="12"/>
    </row>
    <row r="7" customFormat="false" ht="12.75" hidden="false" customHeight="false" outlineLevel="0" collapsed="false">
      <c r="B7" s="13" t="s">
        <v>5</v>
      </c>
      <c r="C7" s="14" t="n">
        <f aca="false">SUM(C8:C21)</f>
        <v>106000</v>
      </c>
      <c r="D7" s="15" t="s">
        <v>6</v>
      </c>
      <c r="E7" s="16"/>
      <c r="F7" s="17" t="s">
        <v>7</v>
      </c>
      <c r="G7" s="17"/>
      <c r="I7" s="17" t="s">
        <v>8</v>
      </c>
      <c r="J7" s="17"/>
      <c r="K7" s="17"/>
      <c r="L7" s="17"/>
    </row>
    <row r="8" customFormat="false" ht="12.75" hidden="false" customHeight="false" outlineLevel="0" collapsed="false">
      <c r="B8" s="18" t="s">
        <v>9</v>
      </c>
      <c r="C8" s="19" t="n">
        <v>5000</v>
      </c>
      <c r="D8" s="20" t="s">
        <v>10</v>
      </c>
      <c r="F8" s="21" t="s">
        <v>11</v>
      </c>
      <c r="G8" s="22" t="n">
        <v>250000</v>
      </c>
      <c r="H8" s="12"/>
      <c r="I8" s="23" t="s">
        <v>12</v>
      </c>
      <c r="J8" s="23"/>
      <c r="K8" s="23" t="s">
        <v>13</v>
      </c>
      <c r="L8" s="23"/>
      <c r="M8" s="12"/>
      <c r="N8" s="12"/>
      <c r="O8" s="12"/>
    </row>
    <row r="9" customFormat="false" ht="12.75" hidden="false" customHeight="false" outlineLevel="0" collapsed="false">
      <c r="B9" s="24" t="s">
        <v>14</v>
      </c>
      <c r="C9" s="19" t="n">
        <v>3000</v>
      </c>
      <c r="D9" s="20" t="s">
        <v>15</v>
      </c>
      <c r="F9" s="25" t="s">
        <v>16</v>
      </c>
      <c r="G9" s="26" t="n">
        <v>2.6</v>
      </c>
      <c r="H9" s="12"/>
      <c r="I9" s="27" t="s">
        <v>17</v>
      </c>
      <c r="J9" s="27"/>
      <c r="K9" s="28" t="n">
        <f aca="false">C82</f>
        <v>0.974657164530233</v>
      </c>
      <c r="L9" s="28"/>
      <c r="M9" s="12"/>
      <c r="N9" s="12"/>
      <c r="O9" s="12"/>
    </row>
    <row r="10" customFormat="false" ht="12.75" hidden="false" customHeight="false" outlineLevel="0" collapsed="false">
      <c r="B10" s="29" t="s">
        <v>18</v>
      </c>
      <c r="C10" s="30"/>
      <c r="D10" s="31"/>
      <c r="F10" s="25" t="s">
        <v>19</v>
      </c>
      <c r="G10" s="26" t="n">
        <v>80</v>
      </c>
      <c r="H10" s="12"/>
      <c r="I10" s="32" t="s">
        <v>20</v>
      </c>
      <c r="J10" s="32"/>
      <c r="K10" s="33" t="n">
        <f aca="false">F82</f>
        <v>464928.051773061</v>
      </c>
      <c r="L10" s="33"/>
      <c r="M10" s="12"/>
      <c r="N10" s="12"/>
      <c r="O10" s="12"/>
    </row>
    <row r="11" s="34" customFormat="true" ht="18.6" hidden="false" customHeight="true" outlineLevel="0" collapsed="false">
      <c r="B11" s="35" t="s">
        <v>21</v>
      </c>
      <c r="C11" s="36" t="n">
        <v>8000</v>
      </c>
      <c r="D11" s="37" t="s">
        <v>22</v>
      </c>
      <c r="F11" s="38" t="s">
        <v>23</v>
      </c>
      <c r="G11" s="39" t="n">
        <v>3100</v>
      </c>
      <c r="H11" s="40"/>
      <c r="I11" s="32" t="s">
        <v>24</v>
      </c>
      <c r="J11" s="32"/>
      <c r="K11" s="41" t="n">
        <f aca="false">J82</f>
        <v>1.95347920913051</v>
      </c>
      <c r="L11" s="41"/>
      <c r="M11" s="40"/>
      <c r="N11" s="40"/>
      <c r="O11" s="40"/>
    </row>
    <row r="12" s="34" customFormat="true" ht="14.45" hidden="false" customHeight="true" outlineLevel="0" collapsed="false">
      <c r="B12" s="42" t="s">
        <v>25</v>
      </c>
      <c r="C12" s="43" t="n">
        <v>0</v>
      </c>
      <c r="D12" s="44" t="s">
        <v>26</v>
      </c>
      <c r="H12" s="40"/>
      <c r="I12" s="45" t="s">
        <v>27</v>
      </c>
      <c r="J12" s="45"/>
      <c r="K12" s="46" t="str">
        <f aca="false">P82</f>
        <v>Один год</v>
      </c>
      <c r="L12" s="46"/>
      <c r="M12" s="40"/>
      <c r="N12" s="40"/>
      <c r="O12" s="40"/>
    </row>
    <row r="13" s="34" customFormat="true" ht="14.45" hidden="false" customHeight="true" outlineLevel="0" collapsed="false">
      <c r="B13" s="42" t="s">
        <v>28</v>
      </c>
      <c r="C13" s="43" t="n">
        <v>20000</v>
      </c>
      <c r="D13" s="44" t="s">
        <v>22</v>
      </c>
      <c r="H13" s="40"/>
      <c r="I13" s="47"/>
      <c r="J13" s="40"/>
      <c r="K13" s="40"/>
      <c r="L13" s="40"/>
      <c r="M13" s="40"/>
      <c r="N13" s="40"/>
      <c r="O13" s="40"/>
    </row>
    <row r="14" s="34" customFormat="true" ht="14.45" hidden="false" customHeight="true" outlineLevel="0" collapsed="false">
      <c r="B14" s="42" t="s">
        <v>29</v>
      </c>
      <c r="C14" s="43" t="n">
        <v>10000</v>
      </c>
      <c r="D14" s="44" t="s">
        <v>30</v>
      </c>
      <c r="H14" s="40"/>
      <c r="I14" s="47"/>
      <c r="J14" s="40"/>
      <c r="K14" s="40"/>
      <c r="L14" s="40"/>
      <c r="M14" s="40"/>
      <c r="N14" s="40"/>
      <c r="O14" s="40"/>
    </row>
    <row r="15" s="34" customFormat="true" ht="14.45" hidden="false" customHeight="true" outlineLevel="0" collapsed="false">
      <c r="B15" s="42" t="s">
        <v>31</v>
      </c>
      <c r="C15" s="43" t="n">
        <v>30000</v>
      </c>
      <c r="D15" s="44" t="s">
        <v>15</v>
      </c>
      <c r="H15" s="40"/>
      <c r="I15" s="47"/>
      <c r="J15" s="40"/>
      <c r="K15" s="40"/>
      <c r="L15" s="40"/>
      <c r="M15" s="40"/>
      <c r="N15" s="40"/>
      <c r="O15" s="40"/>
    </row>
    <row r="16" s="34" customFormat="true" ht="14.45" hidden="false" customHeight="true" outlineLevel="0" collapsed="false">
      <c r="B16" s="42" t="s">
        <v>32</v>
      </c>
      <c r="C16" s="43" t="n">
        <v>25000</v>
      </c>
      <c r="D16" s="44" t="s">
        <v>10</v>
      </c>
      <c r="H16" s="40"/>
      <c r="I16" s="47"/>
      <c r="J16" s="40"/>
      <c r="K16" s="40"/>
      <c r="L16" s="40"/>
      <c r="M16" s="40"/>
      <c r="N16" s="40"/>
      <c r="O16" s="40"/>
    </row>
    <row r="17" s="34" customFormat="true" ht="14.45" hidden="false" customHeight="true" outlineLevel="0" collapsed="false">
      <c r="B17" s="48" t="s">
        <v>33</v>
      </c>
      <c r="C17" s="49" t="n">
        <v>5000</v>
      </c>
      <c r="D17" s="50"/>
      <c r="F17" s="40"/>
      <c r="G17" s="40"/>
      <c r="H17" s="40"/>
      <c r="I17" s="47"/>
      <c r="J17" s="40"/>
      <c r="K17" s="40"/>
      <c r="L17" s="40"/>
      <c r="M17" s="40"/>
      <c r="N17" s="40"/>
      <c r="O17" s="40"/>
    </row>
    <row r="18" s="34" customFormat="true" ht="14.45" hidden="false" customHeight="true" outlineLevel="0" collapsed="false">
      <c r="B18" s="51"/>
      <c r="C18" s="52"/>
      <c r="D18" s="53"/>
      <c r="F18" s="40"/>
      <c r="G18" s="40"/>
      <c r="H18" s="40"/>
      <c r="I18" s="47"/>
      <c r="J18" s="40"/>
      <c r="K18" s="40"/>
      <c r="L18" s="40"/>
      <c r="M18" s="40"/>
      <c r="N18" s="40"/>
      <c r="O18" s="40"/>
    </row>
    <row r="19" s="34" customFormat="true" ht="14.45" hidden="true" customHeight="true" outlineLevel="0" collapsed="false">
      <c r="B19" s="54"/>
      <c r="C19" s="55"/>
      <c r="D19" s="56"/>
      <c r="F19" s="16"/>
      <c r="G19" s="16"/>
      <c r="H19" s="40"/>
      <c r="I19" s="47"/>
      <c r="J19" s="40"/>
      <c r="K19" s="40"/>
      <c r="L19" s="40"/>
      <c r="M19" s="40"/>
      <c r="N19" s="40"/>
      <c r="O19" s="40"/>
    </row>
    <row r="20" customFormat="false" ht="12.75" hidden="true" customHeight="false" outlineLevel="0" collapsed="false">
      <c r="B20" s="57"/>
      <c r="C20" s="55"/>
      <c r="D20" s="56"/>
      <c r="F20" s="58"/>
      <c r="G20" s="58"/>
      <c r="H20" s="12"/>
      <c r="I20" s="59"/>
      <c r="J20" s="12"/>
      <c r="K20" s="12"/>
      <c r="L20" s="12"/>
      <c r="M20" s="12"/>
      <c r="N20" s="12"/>
      <c r="O20" s="12"/>
    </row>
    <row r="21" customFormat="false" ht="12.75" hidden="true" customHeight="false" outlineLevel="0" collapsed="false">
      <c r="B21" s="57"/>
      <c r="C21" s="55"/>
      <c r="D21" s="60"/>
      <c r="F21" s="58"/>
      <c r="G21" s="58"/>
      <c r="H21" s="12"/>
      <c r="I21" s="12"/>
      <c r="J21" s="12"/>
      <c r="K21" s="12"/>
      <c r="L21" s="12"/>
      <c r="M21" s="12"/>
      <c r="N21" s="12"/>
      <c r="O21" s="12"/>
    </row>
    <row r="22" customFormat="false" ht="12.75" hidden="false" customHeight="false" outlineLevel="0" collapsed="false">
      <c r="B22" s="61" t="s">
        <v>34</v>
      </c>
      <c r="C22" s="62" t="n">
        <f aca="false">IF(B5="Быстрый старт",350000,IF(B5="Бизнес класс",400000,IF(B5="Время первых",650000,"Выберите вариант")))</f>
        <v>650000</v>
      </c>
      <c r="D22" s="63"/>
      <c r="F22" s="58"/>
      <c r="G22" s="58"/>
      <c r="H22" s="12"/>
      <c r="I22" s="12"/>
      <c r="J22" s="12"/>
      <c r="K22" s="12"/>
      <c r="L22" s="12"/>
      <c r="M22" s="12"/>
      <c r="N22" s="12"/>
      <c r="O22" s="12"/>
    </row>
    <row r="23" customFormat="false" ht="12.75" hidden="false" customHeight="false" outlineLevel="1" collapsed="false">
      <c r="B23" s="64" t="s">
        <v>35</v>
      </c>
      <c r="C23" s="65" t="n">
        <f aca="false">SUM(C8:C22)</f>
        <v>756000</v>
      </c>
      <c r="D23" s="66"/>
      <c r="E23" s="67"/>
      <c r="F23" s="68"/>
      <c r="G23" s="69"/>
      <c r="H23" s="12"/>
      <c r="I23" s="12"/>
      <c r="J23" s="12"/>
      <c r="K23" s="12"/>
      <c r="L23" s="12"/>
      <c r="M23" s="12"/>
      <c r="N23" s="12"/>
      <c r="O23" s="12"/>
    </row>
    <row r="25" customFormat="false" ht="34.5" hidden="true" customHeight="true" outlineLevel="0" collapsed="false">
      <c r="B25" s="70"/>
      <c r="C25" s="1" t="s">
        <v>36</v>
      </c>
      <c r="G25" s="12"/>
      <c r="H25" s="12"/>
      <c r="I25" s="12"/>
      <c r="J25" s="12"/>
      <c r="K25" s="12"/>
      <c r="L25" s="12"/>
      <c r="M25" s="12"/>
    </row>
    <row r="26" customFormat="false" ht="12.75" hidden="false" customHeight="false" outlineLevel="0" collapsed="false">
      <c r="B26" s="70"/>
    </row>
    <row r="27" customFormat="false" ht="18.75" hidden="false" customHeight="true" outlineLevel="0" collapsed="false">
      <c r="B27" s="70"/>
      <c r="G27" s="12"/>
      <c r="H27" s="12"/>
      <c r="I27" s="12"/>
      <c r="J27" s="12"/>
      <c r="K27" s="12"/>
      <c r="L27" s="12"/>
      <c r="M27" s="12"/>
    </row>
    <row r="29" customFormat="false" ht="12.75" hidden="false" customHeight="false" outlineLevel="0" collapsed="false">
      <c r="A29" s="58"/>
      <c r="B29" s="58"/>
      <c r="K29" s="71"/>
    </row>
    <row r="30" customFormat="false" ht="12.75" hidden="false" customHeight="false" outlineLevel="0" collapsed="false">
      <c r="A30" s="58"/>
      <c r="B30" s="12"/>
    </row>
    <row r="31" customFormat="false" ht="18" hidden="false" customHeight="true" outlineLevel="0" collapsed="false">
      <c r="A31" s="58"/>
      <c r="B31" s="72"/>
      <c r="C31" s="73" t="n">
        <f aca="false">IF(B5="Быстрый старт",0,IF(B5="Бизнес класс",0,IF(B5="Время первых",0,"Выберите вариант")))</f>
        <v>0</v>
      </c>
      <c r="D31" s="74" t="n">
        <v>0.4</v>
      </c>
      <c r="E31" s="75" t="n">
        <f aca="false">IF(B5="Быстрый старт",0.6,IF(B5="Бизнес класс",0.8,IF(B5="Время первых",0.8,"Выберите вариант")))</f>
        <v>0.8</v>
      </c>
      <c r="F31" s="75" t="n">
        <v>0.8</v>
      </c>
      <c r="G31" s="75" t="n">
        <v>1.1</v>
      </c>
      <c r="H31" s="75" t="n">
        <f aca="false">IF(B5="Быстрый старт",1.3,IF(B5="Бизнес класс",1.5,IF(B5="Время первых",1.5,"Выберите вариант")))</f>
        <v>1.5</v>
      </c>
      <c r="I31" s="75" t="n">
        <f aca="false">IF(B5="Быстрый старт",1.4,IF(B5="Бизнес класс",1.5,IF(B5="Время первых",1.5,"Выберите вариант")))</f>
        <v>1.5</v>
      </c>
      <c r="J31" s="75" t="n">
        <f aca="false">IF(B5="Быстрый старт",1.5,IF(B5="Бизнес класс",1.5,IF(B5="Время первых",1.5,"Выберите вариант")))</f>
        <v>1.5</v>
      </c>
      <c r="K31" s="75" t="n">
        <f aca="false">IF(B5="Быстрый старт",1.5,IF(B5="Бизнес класс",1.5,IF(B5="Время первых",1.5,"Выберите вариант")))</f>
        <v>1.5</v>
      </c>
      <c r="L31" s="75" t="n">
        <f aca="false">IF(B5="Быстрый старт",1.5,IF(B5="Бизнес класс",1.5,IF(B5="Время первых",1.5,"Выберите вариант")))</f>
        <v>1.5</v>
      </c>
      <c r="M31" s="75" t="n">
        <f aca="false">IF(B5="Быстрый старт",1.5,IF(B5="Бизнес класс",1.5,IF(B5="Время первых",1.5,"Выберите вариант")))</f>
        <v>1.5</v>
      </c>
      <c r="N31" s="76" t="n">
        <f aca="false">IF(B5="Быстрый старт",1.5,IF(B5="Бизнес класс",1.55,IF(B5="Время первых",1.55,"Выберите вариант")))</f>
        <v>1.55</v>
      </c>
      <c r="O31" s="76" t="n">
        <f aca="false">IF(B5="Быстрый старт",1.5,IF(B5="Бизнес класс",1.55,IF(B5="Время первых",1.55,"Выберите вариант")))</f>
        <v>1.55</v>
      </c>
      <c r="P31" s="76" t="n">
        <v>1.55</v>
      </c>
      <c r="Q31" s="76" t="n">
        <f aca="false">IF(B5="Быстрый старт",1.55,IF(B5="Бизнес класс",1.6,IF(B5="Время первых",1.6,"Выберите вариант")))</f>
        <v>1.6</v>
      </c>
      <c r="R31" s="76" t="n">
        <f aca="false">IF(B5="Быстрый старт",1.6,IF(B5="Бизнес класс",1.65,IF(B5="Время первых",1.65,"Выберите вариант")))</f>
        <v>1.65</v>
      </c>
      <c r="S31" s="76" t="n">
        <v>1.6</v>
      </c>
      <c r="T31" s="76" t="n">
        <f aca="false">IF(B5="Быстрый старт",1.6,IF(B5="Бизнес класс",1.65,IF(B5="Время первых",1.65,"Выберите вариант")))</f>
        <v>1.65</v>
      </c>
      <c r="U31" s="76" t="n">
        <f aca="false">IF(B5="Быстрый старт",1.6,IF(B5="Бизнес класс",1.65,IF(B5="Время первых",1.65,"Выберите вариант")))</f>
        <v>1.65</v>
      </c>
      <c r="V31" s="76" t="n">
        <f aca="false">IF(B5="Быстрый старт",1.6,IF(B5="Бизнес класс",1.65,IF(B5="Время первых",1.65,"Выберите вариант")))</f>
        <v>1.65</v>
      </c>
      <c r="W31" s="76" t="n">
        <f aca="false">IF(B5="Быстрый старт",1.65,IF(B5="Бизнес класс",1.7,IF(B5="Время первых",1.7,"Выберите вариант")))</f>
        <v>1.7</v>
      </c>
      <c r="X31" s="76" t="n">
        <v>1.65</v>
      </c>
      <c r="Y31" s="76" t="n">
        <f aca="false">IF(B5="Быстрый старт",1.65,IF(B5="Бизнес класс",1.7,IF(B5="Время первых",1.7,"Выберите вариант")))</f>
        <v>1.7</v>
      </c>
      <c r="Z31" s="77" t="n">
        <v>1.65</v>
      </c>
    </row>
    <row r="32" s="78" customFormat="true" ht="12.75" hidden="false" customHeight="false" outlineLevel="0" collapsed="false">
      <c r="B32" s="79" t="s">
        <v>37</v>
      </c>
      <c r="C32" s="80" t="s">
        <v>38</v>
      </c>
      <c r="D32" s="81" t="s">
        <v>39</v>
      </c>
      <c r="E32" s="82" t="s">
        <v>40</v>
      </c>
      <c r="F32" s="82" t="s">
        <v>41</v>
      </c>
      <c r="G32" s="82" t="s">
        <v>42</v>
      </c>
      <c r="H32" s="82" t="s">
        <v>43</v>
      </c>
      <c r="I32" s="82" t="s">
        <v>44</v>
      </c>
      <c r="J32" s="82" t="s">
        <v>45</v>
      </c>
      <c r="K32" s="82" t="s">
        <v>46</v>
      </c>
      <c r="L32" s="82" t="s">
        <v>47</v>
      </c>
      <c r="M32" s="82" t="s">
        <v>48</v>
      </c>
      <c r="N32" s="82" t="s">
        <v>49</v>
      </c>
      <c r="O32" s="82" t="s">
        <v>50</v>
      </c>
      <c r="P32" s="82" t="s">
        <v>51</v>
      </c>
      <c r="Q32" s="82" t="s">
        <v>52</v>
      </c>
      <c r="R32" s="82" t="s">
        <v>53</v>
      </c>
      <c r="S32" s="82" t="s">
        <v>54</v>
      </c>
      <c r="T32" s="82" t="s">
        <v>55</v>
      </c>
      <c r="U32" s="82" t="s">
        <v>56</v>
      </c>
      <c r="V32" s="82" t="s">
        <v>57</v>
      </c>
      <c r="W32" s="82" t="s">
        <v>58</v>
      </c>
      <c r="X32" s="82" t="s">
        <v>59</v>
      </c>
      <c r="Y32" s="83" t="s">
        <v>60</v>
      </c>
      <c r="Z32" s="84" t="s">
        <v>61</v>
      </c>
      <c r="AA32" s="85" t="s">
        <v>62</v>
      </c>
    </row>
    <row r="33" customFormat="false" ht="12.75" hidden="false" customHeight="false" outlineLevel="0" collapsed="false">
      <c r="A33" s="86"/>
      <c r="B33" s="87" t="s">
        <v>63</v>
      </c>
      <c r="C33" s="88" t="n">
        <v>0</v>
      </c>
      <c r="D33" s="89" t="n">
        <f aca="false">SUM(D34:D35)</f>
        <v>107200</v>
      </c>
      <c r="E33" s="89" t="n">
        <f aca="false">SUM(E34:E35)</f>
        <v>207200</v>
      </c>
      <c r="F33" s="89" t="n">
        <f aca="false">SUM(F34:F35)</f>
        <v>208080</v>
      </c>
      <c r="G33" s="89" t="n">
        <f aca="false">SUM(G34:G35)</f>
        <v>283448</v>
      </c>
      <c r="H33" s="89" t="n">
        <f aca="false">SUM(H34:H35)</f>
        <v>383712.8</v>
      </c>
      <c r="I33" s="89" t="n">
        <f aca="false">SUM(I34:I35)</f>
        <v>384884.08</v>
      </c>
      <c r="J33" s="89" t="n">
        <f aca="false">SUM(J34:J35)</f>
        <v>386172.488</v>
      </c>
      <c r="K33" s="89" t="n">
        <f aca="false">SUM(K34:K35)</f>
        <v>387589.7368</v>
      </c>
      <c r="L33" s="89" t="n">
        <f aca="false">SUM(L34:L35)</f>
        <v>389148.71048</v>
      </c>
      <c r="M33" s="89" t="n">
        <f aca="false">SUM(M34:M35)</f>
        <v>390863.581528</v>
      </c>
      <c r="N33" s="89" t="n">
        <f aca="false">SUM(N34:N35)</f>
        <v>405149.9396808</v>
      </c>
      <c r="O33" s="89" t="n">
        <f aca="false">SUM(O34:O35)</f>
        <v>407224.93364888</v>
      </c>
      <c r="P33" s="89" t="n">
        <f aca="false">SUM(P34:P35)</f>
        <v>409507.427013768</v>
      </c>
      <c r="Q33" s="89" t="n">
        <f aca="false">SUM(Q34:Q35)</f>
        <v>424418.169715145</v>
      </c>
      <c r="R33" s="89" t="n">
        <f aca="false">SUM(R34:R35)</f>
        <v>439579.986686659</v>
      </c>
      <c r="S33" s="89" t="n">
        <f aca="false">SUM(S34:S35)</f>
        <v>430217.985355325</v>
      </c>
      <c r="T33" s="89" t="n">
        <f aca="false">SUM(T34:T35)</f>
        <v>445959.783890858</v>
      </c>
      <c r="U33" s="89" t="n">
        <f aca="false">SUM(U34:U35)</f>
        <v>449635.762279944</v>
      </c>
      <c r="V33" s="89" t="n">
        <f aca="false">SUM(V34:V35)</f>
        <v>453679.338507938</v>
      </c>
      <c r="W33" s="89" t="n">
        <f aca="false">SUM(W34:W35)</f>
        <v>470527.272358732</v>
      </c>
      <c r="X33" s="89" t="n">
        <f aca="false">SUM(X34:X35)</f>
        <v>463019.999594605</v>
      </c>
      <c r="Y33" s="90" t="n">
        <f aca="false">SUM(Y34:Y35)</f>
        <v>480801.999554065</v>
      </c>
      <c r="Z33" s="91" t="n">
        <f aca="false">SUM(Z34:Z35)</f>
        <v>474322.199509472</v>
      </c>
      <c r="AA33" s="92" t="n">
        <f aca="false">SUM(C33:Z33)</f>
        <v>8882344.19460419</v>
      </c>
      <c r="AC33" s="93"/>
    </row>
    <row r="34" customFormat="false" ht="12.75" hidden="false" customHeight="false" outlineLevel="0" collapsed="false">
      <c r="A34" s="94"/>
      <c r="B34" s="95" t="s">
        <v>64</v>
      </c>
      <c r="C34" s="96" t="n">
        <v>0</v>
      </c>
      <c r="D34" s="97" t="n">
        <f aca="false">D31*$G11*$G10</f>
        <v>99200</v>
      </c>
      <c r="E34" s="97" t="n">
        <f aca="false">E31*$G11*$G10</f>
        <v>198400</v>
      </c>
      <c r="F34" s="97" t="n">
        <f aca="false">F31*$G11*$G10</f>
        <v>198400</v>
      </c>
      <c r="G34" s="97" t="n">
        <f aca="false">G31*$G11*$G10</f>
        <v>272800</v>
      </c>
      <c r="H34" s="97" t="n">
        <f aca="false">H31*$G11*$G10</f>
        <v>372000</v>
      </c>
      <c r="I34" s="97" t="n">
        <f aca="false">I31*$G11*$G10</f>
        <v>372000</v>
      </c>
      <c r="J34" s="97" t="n">
        <f aca="false">J31*$G11*$G10</f>
        <v>372000</v>
      </c>
      <c r="K34" s="97" t="n">
        <f aca="false">K31*$G11*$G10</f>
        <v>372000</v>
      </c>
      <c r="L34" s="97" t="n">
        <f aca="false">L31*$G11*$G10</f>
        <v>372000</v>
      </c>
      <c r="M34" s="97" t="n">
        <f aca="false">M31*$G11*$G10</f>
        <v>372000</v>
      </c>
      <c r="N34" s="97" t="n">
        <f aca="false">N31*$G11*$G10</f>
        <v>384400</v>
      </c>
      <c r="O34" s="97" t="n">
        <f aca="false">O31*$G11*$G10</f>
        <v>384400</v>
      </c>
      <c r="P34" s="97" t="n">
        <f aca="false">P31*$G11*$G10</f>
        <v>384400</v>
      </c>
      <c r="Q34" s="97" t="n">
        <f aca="false">Q31*$G11*$G10</f>
        <v>396800</v>
      </c>
      <c r="R34" s="97" t="n">
        <f aca="false">R31*$G11*$G10</f>
        <v>409200</v>
      </c>
      <c r="S34" s="97" t="n">
        <f aca="false">S31*$G11*$G10</f>
        <v>396800</v>
      </c>
      <c r="T34" s="97" t="n">
        <f aca="false">T31*$G11*$G10</f>
        <v>409200</v>
      </c>
      <c r="U34" s="97" t="n">
        <f aca="false">U31*$G11*$G10</f>
        <v>409200</v>
      </c>
      <c r="V34" s="97" t="n">
        <f aca="false">V31*$G11*$G10</f>
        <v>409200</v>
      </c>
      <c r="W34" s="97" t="n">
        <f aca="false">W31*$G11*$G10</f>
        <v>421600</v>
      </c>
      <c r="X34" s="97" t="n">
        <f aca="false">X31*$G11*$G10</f>
        <v>409200</v>
      </c>
      <c r="Y34" s="97" t="n">
        <f aca="false">Y31*$G11*$G10</f>
        <v>421600</v>
      </c>
      <c r="Z34" s="98" t="n">
        <f aca="false">Z31*$G11*$G10</f>
        <v>409200</v>
      </c>
      <c r="AA34" s="99" t="n">
        <f aca="false">SUM(C34:Z34)</f>
        <v>8246000</v>
      </c>
      <c r="AC34" s="93"/>
    </row>
    <row r="35" customFormat="false" ht="12.75" hidden="false" customHeight="false" outlineLevel="0" collapsed="false">
      <c r="A35" s="94"/>
      <c r="B35" s="100" t="s">
        <v>65</v>
      </c>
      <c r="C35" s="101" t="n">
        <v>0</v>
      </c>
      <c r="D35" s="102" t="n">
        <v>8000</v>
      </c>
      <c r="E35" s="102" t="n">
        <f aca="false">D35*1.1</f>
        <v>8800</v>
      </c>
      <c r="F35" s="102" t="n">
        <f aca="false">E35*1.1</f>
        <v>9680</v>
      </c>
      <c r="G35" s="102" t="n">
        <f aca="false">F35*1.1</f>
        <v>10648</v>
      </c>
      <c r="H35" s="102" t="n">
        <f aca="false">G35*1.1</f>
        <v>11712.8</v>
      </c>
      <c r="I35" s="102" t="n">
        <f aca="false">H35*1.1</f>
        <v>12884.08</v>
      </c>
      <c r="J35" s="102" t="n">
        <f aca="false">I35*1.1</f>
        <v>14172.488</v>
      </c>
      <c r="K35" s="102" t="n">
        <f aca="false">J35*1.1</f>
        <v>15589.7368</v>
      </c>
      <c r="L35" s="102" t="n">
        <f aca="false">K35*1.1</f>
        <v>17148.71048</v>
      </c>
      <c r="M35" s="102" t="n">
        <f aca="false">L35*1.1</f>
        <v>18863.581528</v>
      </c>
      <c r="N35" s="102" t="n">
        <f aca="false">M35*1.1</f>
        <v>20749.9396808</v>
      </c>
      <c r="O35" s="102" t="n">
        <f aca="false">N35*1.1</f>
        <v>22824.93364888</v>
      </c>
      <c r="P35" s="102" t="n">
        <f aca="false">O35*1.1</f>
        <v>25107.427013768</v>
      </c>
      <c r="Q35" s="102" t="n">
        <f aca="false">P35*1.1</f>
        <v>27618.1697151448</v>
      </c>
      <c r="R35" s="102" t="n">
        <f aca="false">Q35*1.1</f>
        <v>30379.9866866593</v>
      </c>
      <c r="S35" s="102" t="n">
        <f aca="false">R35*1.1</f>
        <v>33417.9853553252</v>
      </c>
      <c r="T35" s="102" t="n">
        <f aca="false">S35*1.1</f>
        <v>36759.7838908578</v>
      </c>
      <c r="U35" s="102" t="n">
        <f aca="false">T35*1.1</f>
        <v>40435.7622799435</v>
      </c>
      <c r="V35" s="102" t="n">
        <f aca="false">U35*1.1</f>
        <v>44479.3385079379</v>
      </c>
      <c r="W35" s="102" t="n">
        <f aca="false">V35*1.1</f>
        <v>48927.2723587317</v>
      </c>
      <c r="X35" s="102" t="n">
        <f aca="false">W35*1.1</f>
        <v>53819.9995946049</v>
      </c>
      <c r="Y35" s="102" t="n">
        <f aca="false">X35*1.1</f>
        <v>59201.9995540654</v>
      </c>
      <c r="Z35" s="103" t="n">
        <f aca="false">Y35*1.1</f>
        <v>65122.1995094719</v>
      </c>
      <c r="AA35" s="104" t="n">
        <f aca="false">SUM(C35:Z35)</f>
        <v>636344.194604191</v>
      </c>
    </row>
    <row r="36" customFormat="false" ht="12.75" hidden="false" customHeight="false" outlineLevel="0" collapsed="false">
      <c r="A36" s="94"/>
      <c r="B36" s="105" t="s">
        <v>66</v>
      </c>
      <c r="C36" s="106" t="n">
        <f aca="false">SUM(C37:C45)</f>
        <v>4269</v>
      </c>
      <c r="D36" s="107" t="n">
        <f aca="false">SUM(D37:D45)</f>
        <v>79850</v>
      </c>
      <c r="E36" s="107" t="n">
        <f aca="false">SUM(E37:E45)</f>
        <v>167851</v>
      </c>
      <c r="F36" s="107" t="n">
        <f aca="false">SUM(F37:F45)</f>
        <v>168467</v>
      </c>
      <c r="G36" s="107" t="n">
        <f aca="false">SUM(G37:G45)</f>
        <v>221224.6</v>
      </c>
      <c r="H36" s="107" t="n">
        <f aca="false">SUM(H37:H45)</f>
        <v>291409.96</v>
      </c>
      <c r="I36" s="107" t="n">
        <f aca="false">SUM(I37:I45)</f>
        <v>292229.856</v>
      </c>
      <c r="J36" s="107" t="n">
        <f aca="false">SUM(J37:J45)</f>
        <v>293131.7416</v>
      </c>
      <c r="K36" s="108" t="n">
        <f aca="false">SUM(K37:K45)</f>
        <v>294123.81576</v>
      </c>
      <c r="L36" s="108" t="n">
        <f aca="false">SUM(L37:L45)</f>
        <v>295215.097336</v>
      </c>
      <c r="M36" s="108" t="n">
        <f aca="false">SUM(M37:M45)</f>
        <v>296415.5070696</v>
      </c>
      <c r="N36" s="108" t="n">
        <f aca="false">SUM(N37:N45)</f>
        <v>306415.95777656</v>
      </c>
      <c r="O36" s="108" t="n">
        <f aca="false">SUM(O37:O45)</f>
        <v>308529.453554216</v>
      </c>
      <c r="P36" s="108" t="n">
        <f aca="false">SUM(P37:P45)</f>
        <v>310127.198909638</v>
      </c>
      <c r="Q36" s="108" t="n">
        <f aca="false">SUM(Q37:Q45)</f>
        <v>320564.718800601</v>
      </c>
      <c r="R36" s="108" t="n">
        <f aca="false">SUM(R37:R45)</f>
        <v>331177.990680662</v>
      </c>
      <c r="S36" s="108" t="n">
        <f aca="false">SUM(S37:S45)</f>
        <v>324624.589748728</v>
      </c>
      <c r="T36" s="108" t="n">
        <f aca="false">SUM(T37:T45)</f>
        <v>335643.8487236</v>
      </c>
      <c r="U36" s="108" t="n">
        <f aca="false">SUM(U37:U45)</f>
        <v>338216.033595961</v>
      </c>
      <c r="V36" s="108" t="n">
        <f aca="false">SUM(V37:V45)</f>
        <v>341046.536955557</v>
      </c>
      <c r="W36" s="108" t="n">
        <f aca="false">SUM(W37:W45)</f>
        <v>352840.090651112</v>
      </c>
      <c r="X36" s="108" t="n">
        <f aca="false">SUM(X37:X45)</f>
        <v>347584.999716223</v>
      </c>
      <c r="Y36" s="108" t="n">
        <f aca="false">SUM(Y37:Y45)</f>
        <v>360032.399687846</v>
      </c>
      <c r="Z36" s="109" t="n">
        <f aca="false">SUM(Z37:Z45)</f>
        <v>355496.53965663</v>
      </c>
      <c r="AA36" s="110" t="n">
        <f aca="false">SUM(C36:Z36)</f>
        <v>6736487.93622294</v>
      </c>
    </row>
    <row r="37" customFormat="false" ht="15" hidden="false" customHeight="true" outlineLevel="0" collapsed="false">
      <c r="A37" s="111"/>
      <c r="B37" s="95" t="s">
        <v>67</v>
      </c>
      <c r="C37" s="96" t="n">
        <v>0</v>
      </c>
      <c r="D37" s="97" t="n">
        <f aca="false">D34*0.3</f>
        <v>29760</v>
      </c>
      <c r="E37" s="97" t="n">
        <f aca="false">E34*0.3</f>
        <v>59520</v>
      </c>
      <c r="F37" s="97" t="n">
        <f aca="false">F34*0.3</f>
        <v>59520</v>
      </c>
      <c r="G37" s="97" t="n">
        <f aca="false">G34*0.3</f>
        <v>81840</v>
      </c>
      <c r="H37" s="97" t="n">
        <f aca="false">H34*0.3</f>
        <v>111600</v>
      </c>
      <c r="I37" s="97" t="n">
        <f aca="false">I34*0.3</f>
        <v>111600</v>
      </c>
      <c r="J37" s="97" t="n">
        <f aca="false">J34*0.3</f>
        <v>111600</v>
      </c>
      <c r="K37" s="97" t="n">
        <f aca="false">K34*0.3</f>
        <v>111600</v>
      </c>
      <c r="L37" s="97" t="n">
        <f aca="false">L34*0.3</f>
        <v>111600</v>
      </c>
      <c r="M37" s="97" t="n">
        <f aca="false">M34*0.3</f>
        <v>111600</v>
      </c>
      <c r="N37" s="97" t="n">
        <f aca="false">N34*0.3</f>
        <v>115320</v>
      </c>
      <c r="O37" s="97" t="n">
        <f aca="false">O34*0.3</f>
        <v>115320</v>
      </c>
      <c r="P37" s="97" t="n">
        <f aca="false">P34*0.3</f>
        <v>115320</v>
      </c>
      <c r="Q37" s="97" t="n">
        <f aca="false">Q34*0.3</f>
        <v>119040</v>
      </c>
      <c r="R37" s="97" t="n">
        <f aca="false">R34*0.3</f>
        <v>122760</v>
      </c>
      <c r="S37" s="97" t="n">
        <f aca="false">S34*0.3</f>
        <v>119040</v>
      </c>
      <c r="T37" s="97" t="n">
        <f aca="false">T34*0.3</f>
        <v>122760</v>
      </c>
      <c r="U37" s="97" t="n">
        <f aca="false">U34*0.3</f>
        <v>122760</v>
      </c>
      <c r="V37" s="97" t="n">
        <f aca="false">V34*0.3</f>
        <v>122760</v>
      </c>
      <c r="W37" s="97" t="n">
        <f aca="false">W34*0.3</f>
        <v>126480</v>
      </c>
      <c r="X37" s="97" t="n">
        <f aca="false">X34*0.3</f>
        <v>122760</v>
      </c>
      <c r="Y37" s="97" t="n">
        <f aca="false">Y34*0.3</f>
        <v>126480</v>
      </c>
      <c r="Z37" s="98" t="n">
        <f aca="false">Z34*0.3</f>
        <v>122760</v>
      </c>
      <c r="AA37" s="99" t="n">
        <f aca="false">SUM(C37:Z37)</f>
        <v>2473800</v>
      </c>
    </row>
    <row r="38" customFormat="false" ht="14.1" hidden="false" customHeight="true" outlineLevel="0" collapsed="false">
      <c r="A38" s="58"/>
      <c r="B38" s="100" t="s">
        <v>68</v>
      </c>
      <c r="C38" s="112" t="n">
        <v>0</v>
      </c>
      <c r="D38" s="113" t="n">
        <f aca="false">0.6*D35</f>
        <v>4800</v>
      </c>
      <c r="E38" s="113" t="n">
        <f aca="false">0.6*E35</f>
        <v>5280</v>
      </c>
      <c r="F38" s="113" t="n">
        <f aca="false">0.6*F35</f>
        <v>5808</v>
      </c>
      <c r="G38" s="113" t="n">
        <f aca="false">0.6*G35</f>
        <v>6388.8</v>
      </c>
      <c r="H38" s="113" t="n">
        <f aca="false">0.6*H35</f>
        <v>7027.68</v>
      </c>
      <c r="I38" s="113" t="n">
        <f aca="false">0.6*I35</f>
        <v>7730.448</v>
      </c>
      <c r="J38" s="113" t="n">
        <f aca="false">0.6*J35</f>
        <v>8503.4928</v>
      </c>
      <c r="K38" s="113" t="n">
        <f aca="false">0.6*K35</f>
        <v>9353.84208</v>
      </c>
      <c r="L38" s="113" t="n">
        <f aca="false">0.6*L35</f>
        <v>10289.226288</v>
      </c>
      <c r="M38" s="113" t="n">
        <f aca="false">0.6*M35</f>
        <v>11318.1489168</v>
      </c>
      <c r="N38" s="113" t="n">
        <f aca="false">0.6*N35</f>
        <v>12449.96380848</v>
      </c>
      <c r="O38" s="113" t="n">
        <f aca="false">0.6*O35</f>
        <v>13694.960189328</v>
      </c>
      <c r="P38" s="113" t="n">
        <f aca="false">0.6*P35</f>
        <v>15064.4562082608</v>
      </c>
      <c r="Q38" s="113" t="n">
        <f aca="false">0.6*Q35</f>
        <v>16570.9018290869</v>
      </c>
      <c r="R38" s="113" t="n">
        <f aca="false">0.6*R35</f>
        <v>18227.9920119956</v>
      </c>
      <c r="S38" s="113" t="n">
        <f aca="false">0.6*S35</f>
        <v>20050.7912131951</v>
      </c>
      <c r="T38" s="113" t="n">
        <f aca="false">0.6*T35</f>
        <v>22055.8703345147</v>
      </c>
      <c r="U38" s="113" t="n">
        <f aca="false">0.6*U35</f>
        <v>24261.4573679661</v>
      </c>
      <c r="V38" s="113" t="n">
        <f aca="false">0.6*V35</f>
        <v>26687.6031047627</v>
      </c>
      <c r="W38" s="113" t="n">
        <f aca="false">0.6*W35</f>
        <v>29356.363415239</v>
      </c>
      <c r="X38" s="113" t="n">
        <f aca="false">0.6*X35</f>
        <v>32291.9997567629</v>
      </c>
      <c r="Y38" s="113" t="n">
        <f aca="false">0.6*Y35</f>
        <v>35521.1997324392</v>
      </c>
      <c r="Z38" s="114" t="n">
        <f aca="false">0.6*Z35</f>
        <v>39073.3197056831</v>
      </c>
      <c r="AA38" s="115" t="n">
        <f aca="false">SUM(C38:Z38)</f>
        <v>381806.516762514</v>
      </c>
    </row>
    <row r="39" customFormat="false" ht="15.95" hidden="false" customHeight="true" outlineLevel="0" collapsed="false">
      <c r="A39" s="58"/>
      <c r="B39" s="116" t="s">
        <v>69</v>
      </c>
      <c r="C39" s="117" t="n">
        <v>0</v>
      </c>
      <c r="D39" s="118" t="n">
        <v>1</v>
      </c>
      <c r="E39" s="118" t="n">
        <v>1</v>
      </c>
      <c r="F39" s="118" t="n">
        <v>1</v>
      </c>
      <c r="G39" s="118" t="n">
        <v>1</v>
      </c>
      <c r="H39" s="118" t="n">
        <v>1</v>
      </c>
      <c r="I39" s="118" t="n">
        <v>1</v>
      </c>
      <c r="J39" s="118" t="n">
        <v>1</v>
      </c>
      <c r="K39" s="118" t="n">
        <v>1</v>
      </c>
      <c r="L39" s="118" t="n">
        <v>1</v>
      </c>
      <c r="M39" s="118" t="n">
        <v>1</v>
      </c>
      <c r="N39" s="118" t="n">
        <v>1</v>
      </c>
      <c r="O39" s="118" t="n">
        <v>2</v>
      </c>
      <c r="P39" s="118" t="n">
        <v>2</v>
      </c>
      <c r="Q39" s="118" t="n">
        <v>2</v>
      </c>
      <c r="R39" s="118" t="n">
        <v>2</v>
      </c>
      <c r="S39" s="118" t="n">
        <v>2</v>
      </c>
      <c r="T39" s="118" t="n">
        <v>2</v>
      </c>
      <c r="U39" s="118" t="n">
        <v>2</v>
      </c>
      <c r="V39" s="118" t="n">
        <v>2</v>
      </c>
      <c r="W39" s="118" t="n">
        <v>2</v>
      </c>
      <c r="X39" s="118" t="n">
        <v>2</v>
      </c>
      <c r="Y39" s="118" t="n">
        <v>2</v>
      </c>
      <c r="Z39" s="119" t="n">
        <v>2</v>
      </c>
      <c r="AA39" s="115"/>
    </row>
    <row r="40" customFormat="false" ht="15.95" hidden="false" customHeight="true" outlineLevel="0" collapsed="false">
      <c r="A40" s="58"/>
      <c r="B40" s="100" t="s">
        <v>70</v>
      </c>
      <c r="C40" s="112" t="n">
        <v>0</v>
      </c>
      <c r="D40" s="120" t="n">
        <f aca="false">0.3*D34*D39</f>
        <v>29760</v>
      </c>
      <c r="E40" s="120" t="n">
        <f aca="false">0.3*E34</f>
        <v>59520</v>
      </c>
      <c r="F40" s="120" t="n">
        <f aca="false">0.3*F34</f>
        <v>59520</v>
      </c>
      <c r="G40" s="120" t="n">
        <f aca="false">0.3*G34</f>
        <v>81840</v>
      </c>
      <c r="H40" s="120" t="n">
        <f aca="false">0.3*H34</f>
        <v>111600</v>
      </c>
      <c r="I40" s="120" t="n">
        <f aca="false">0.3*I34</f>
        <v>111600</v>
      </c>
      <c r="J40" s="120" t="n">
        <f aca="false">0.3*J34</f>
        <v>111600</v>
      </c>
      <c r="K40" s="120" t="n">
        <f aca="false">0.3*K34</f>
        <v>111600</v>
      </c>
      <c r="L40" s="120" t="n">
        <f aca="false">0.3*L34</f>
        <v>111600</v>
      </c>
      <c r="M40" s="120" t="n">
        <f aca="false">0.3*M34</f>
        <v>111600</v>
      </c>
      <c r="N40" s="120" t="n">
        <f aca="false">0.3*N34</f>
        <v>115320</v>
      </c>
      <c r="O40" s="120" t="n">
        <f aca="false">0.3*O34</f>
        <v>115320</v>
      </c>
      <c r="P40" s="120" t="n">
        <f aca="false">0.3*P34</f>
        <v>115320</v>
      </c>
      <c r="Q40" s="120" t="n">
        <f aca="false">0.3*Q34</f>
        <v>119040</v>
      </c>
      <c r="R40" s="120" t="n">
        <f aca="false">0.3*R34</f>
        <v>122760</v>
      </c>
      <c r="S40" s="120" t="n">
        <f aca="false">0.3*S34</f>
        <v>119040</v>
      </c>
      <c r="T40" s="120" t="n">
        <f aca="false">0.3*T34</f>
        <v>122760</v>
      </c>
      <c r="U40" s="120" t="n">
        <f aca="false">0.3*U34</f>
        <v>122760</v>
      </c>
      <c r="V40" s="120" t="n">
        <f aca="false">0.3*V34</f>
        <v>122760</v>
      </c>
      <c r="W40" s="120" t="n">
        <f aca="false">0.3*W34</f>
        <v>126480</v>
      </c>
      <c r="X40" s="120" t="n">
        <f aca="false">0.3*X34</f>
        <v>122760</v>
      </c>
      <c r="Y40" s="120" t="n">
        <f aca="false">0.3*Y34</f>
        <v>126480</v>
      </c>
      <c r="Z40" s="121" t="n">
        <f aca="false">0.3*Z34</f>
        <v>122760</v>
      </c>
      <c r="AA40" s="115" t="n">
        <f aca="false">SUM(C40:Z40)</f>
        <v>2473800</v>
      </c>
    </row>
    <row r="41" customFormat="false" ht="12.75" hidden="false" customHeight="false" outlineLevel="0" collapsed="false">
      <c r="A41" s="58"/>
      <c r="B41" s="100" t="s">
        <v>71</v>
      </c>
      <c r="C41" s="112" t="n">
        <v>0</v>
      </c>
      <c r="D41" s="120" t="n">
        <v>0</v>
      </c>
      <c r="E41" s="120" t="n">
        <v>18000</v>
      </c>
      <c r="F41" s="120" t="n">
        <v>18000</v>
      </c>
      <c r="G41" s="120" t="n">
        <v>18000</v>
      </c>
      <c r="H41" s="120" t="n">
        <v>18000</v>
      </c>
      <c r="I41" s="120" t="n">
        <v>18000</v>
      </c>
      <c r="J41" s="120" t="n">
        <v>18000</v>
      </c>
      <c r="K41" s="120" t="n">
        <v>18000</v>
      </c>
      <c r="L41" s="120" t="n">
        <v>18000</v>
      </c>
      <c r="M41" s="120" t="n">
        <v>18000</v>
      </c>
      <c r="N41" s="120" t="n">
        <v>18000</v>
      </c>
      <c r="O41" s="120" t="n">
        <v>18000</v>
      </c>
      <c r="P41" s="120" t="n">
        <v>18000</v>
      </c>
      <c r="Q41" s="120" t="n">
        <v>18000</v>
      </c>
      <c r="R41" s="120" t="n">
        <v>18000</v>
      </c>
      <c r="S41" s="120" t="n">
        <v>18000</v>
      </c>
      <c r="T41" s="120" t="n">
        <v>18000</v>
      </c>
      <c r="U41" s="122" t="n">
        <v>18000</v>
      </c>
      <c r="V41" s="118" t="n">
        <v>18000</v>
      </c>
      <c r="W41" s="118" t="n">
        <v>18000</v>
      </c>
      <c r="X41" s="118" t="n">
        <v>18000</v>
      </c>
      <c r="Y41" s="118" t="n">
        <v>18000</v>
      </c>
      <c r="Z41" s="119" t="n">
        <v>18000</v>
      </c>
      <c r="AA41" s="115" t="n">
        <f aca="false">SUM(C41:Z41)</f>
        <v>396000</v>
      </c>
    </row>
    <row r="42" s="123" customFormat="true" ht="12.75" hidden="false" customHeight="false" outlineLevel="0" collapsed="false">
      <c r="B42" s="100" t="s">
        <v>72</v>
      </c>
      <c r="C42" s="120" t="n">
        <f aca="false">0.1*C33</f>
        <v>0</v>
      </c>
      <c r="D42" s="120" t="n">
        <f aca="false">0.1*D33</f>
        <v>10720</v>
      </c>
      <c r="E42" s="120" t="n">
        <f aca="false">0.1*E33</f>
        <v>20720</v>
      </c>
      <c r="F42" s="120" t="n">
        <f aca="false">0.1*F33</f>
        <v>20808</v>
      </c>
      <c r="G42" s="120" t="n">
        <f aca="false">0.1*G33</f>
        <v>28344.8</v>
      </c>
      <c r="H42" s="120" t="n">
        <f aca="false">0.1*H33</f>
        <v>38371.28</v>
      </c>
      <c r="I42" s="120" t="n">
        <f aca="false">0.1*I33</f>
        <v>38488.408</v>
      </c>
      <c r="J42" s="120" t="n">
        <f aca="false">0.1*J33</f>
        <v>38617.2488</v>
      </c>
      <c r="K42" s="120" t="n">
        <f aca="false">0.1*K33</f>
        <v>38758.97368</v>
      </c>
      <c r="L42" s="120" t="n">
        <f aca="false">0.1*L33</f>
        <v>38914.871048</v>
      </c>
      <c r="M42" s="120" t="n">
        <f aca="false">0.1*M33</f>
        <v>39086.3581528</v>
      </c>
      <c r="N42" s="120" t="n">
        <f aca="false">0.1*N33</f>
        <v>40514.99396808</v>
      </c>
      <c r="O42" s="120" t="n">
        <f aca="false">0.1*O33</f>
        <v>40722.493364888</v>
      </c>
      <c r="P42" s="120" t="n">
        <f aca="false">0.1*P33</f>
        <v>40950.7427013768</v>
      </c>
      <c r="Q42" s="120" t="n">
        <f aca="false">0.1*Q33</f>
        <v>42441.8169715145</v>
      </c>
      <c r="R42" s="120" t="n">
        <f aca="false">0.1*R33</f>
        <v>43957.9986686659</v>
      </c>
      <c r="S42" s="120" t="n">
        <f aca="false">0.1*S33</f>
        <v>43021.7985355325</v>
      </c>
      <c r="T42" s="120" t="n">
        <f aca="false">0.1*T33</f>
        <v>44595.9783890858</v>
      </c>
      <c r="U42" s="120" t="n">
        <f aca="false">0.1*U33</f>
        <v>44963.5762279944</v>
      </c>
      <c r="V42" s="120" t="n">
        <f aca="false">0.1*V33</f>
        <v>45367.9338507938</v>
      </c>
      <c r="W42" s="120" t="n">
        <f aca="false">0.1*W33</f>
        <v>47052.7272358732</v>
      </c>
      <c r="X42" s="120" t="n">
        <f aca="false">0.1*X33</f>
        <v>46301.9999594605</v>
      </c>
      <c r="Y42" s="120" t="n">
        <f aca="false">0.1*Y33</f>
        <v>48080.1999554065</v>
      </c>
      <c r="Z42" s="120" t="n">
        <f aca="false">0.1*Z33</f>
        <v>47432.2199509472</v>
      </c>
      <c r="AA42" s="124" t="n">
        <f aca="false">0.1*AA33</f>
        <v>888234.419460419</v>
      </c>
    </row>
    <row r="43" customFormat="false" ht="12.75" hidden="false" customHeight="false" outlineLevel="0" collapsed="false">
      <c r="A43" s="58"/>
      <c r="B43" s="100" t="s">
        <v>73</v>
      </c>
      <c r="C43" s="125" t="n">
        <v>0</v>
      </c>
      <c r="D43" s="120" t="n">
        <f aca="false">270*2</f>
        <v>540</v>
      </c>
      <c r="E43" s="120" t="n">
        <f aca="false">270*2</f>
        <v>540</v>
      </c>
      <c r="F43" s="120" t="n">
        <f aca="false">270*2</f>
        <v>540</v>
      </c>
      <c r="G43" s="120" t="n">
        <f aca="false">270*2</f>
        <v>540</v>
      </c>
      <c r="H43" s="120" t="n">
        <f aca="false">270*2</f>
        <v>540</v>
      </c>
      <c r="I43" s="120" t="n">
        <f aca="false">270*2</f>
        <v>540</v>
      </c>
      <c r="J43" s="120" t="n">
        <f aca="false">270*2</f>
        <v>540</v>
      </c>
      <c r="K43" s="120" t="n">
        <f aca="false">270*2</f>
        <v>540</v>
      </c>
      <c r="L43" s="120" t="n">
        <f aca="false">270*2</f>
        <v>540</v>
      </c>
      <c r="M43" s="120" t="n">
        <f aca="false">270*2</f>
        <v>540</v>
      </c>
      <c r="N43" s="120" t="n">
        <f aca="false">270*2</f>
        <v>540</v>
      </c>
      <c r="O43" s="120" t="n">
        <f aca="false">270*3</f>
        <v>810</v>
      </c>
      <c r="P43" s="120" t="n">
        <f aca="false">270*3</f>
        <v>810</v>
      </c>
      <c r="Q43" s="120" t="n">
        <f aca="false">270*3</f>
        <v>810</v>
      </c>
      <c r="R43" s="120" t="n">
        <f aca="false">270*3</f>
        <v>810</v>
      </c>
      <c r="S43" s="120" t="n">
        <f aca="false">270*3</f>
        <v>810</v>
      </c>
      <c r="T43" s="120" t="n">
        <f aca="false">270*3</f>
        <v>810</v>
      </c>
      <c r="U43" s="120" t="n">
        <f aca="false">270*3</f>
        <v>810</v>
      </c>
      <c r="V43" s="120" t="n">
        <f aca="false">270*3</f>
        <v>810</v>
      </c>
      <c r="W43" s="120" t="n">
        <f aca="false">270*3</f>
        <v>810</v>
      </c>
      <c r="X43" s="120" t="n">
        <f aca="false">270*3</f>
        <v>810</v>
      </c>
      <c r="Y43" s="120" t="n">
        <f aca="false">270*3</f>
        <v>810</v>
      </c>
      <c r="Z43" s="121" t="n">
        <f aca="false">270*3</f>
        <v>810</v>
      </c>
      <c r="AA43" s="115" t="n">
        <f aca="false">SUM(C43:Z43)</f>
        <v>15660</v>
      </c>
    </row>
    <row r="44" customFormat="false" ht="12.75" hidden="false" customHeight="false" outlineLevel="0" collapsed="false">
      <c r="A44" s="58"/>
      <c r="B44" s="126" t="s">
        <v>74</v>
      </c>
      <c r="C44" s="127"/>
      <c r="D44" s="128"/>
      <c r="E44" s="128" t="n">
        <v>0</v>
      </c>
      <c r="F44" s="128" t="n">
        <v>0</v>
      </c>
      <c r="G44" s="128" t="n">
        <v>0</v>
      </c>
      <c r="H44" s="128" t="n">
        <v>0</v>
      </c>
      <c r="I44" s="128" t="n">
        <v>0</v>
      </c>
      <c r="J44" s="128" t="n">
        <v>0</v>
      </c>
      <c r="K44" s="128" t="n">
        <v>0</v>
      </c>
      <c r="L44" s="128" t="n">
        <v>0</v>
      </c>
      <c r="M44" s="128" t="n">
        <v>0</v>
      </c>
      <c r="N44" s="128" t="n">
        <v>0</v>
      </c>
      <c r="O44" s="128" t="n">
        <v>0</v>
      </c>
      <c r="P44" s="128" t="n">
        <v>0</v>
      </c>
      <c r="Q44" s="128" t="n">
        <v>0</v>
      </c>
      <c r="R44" s="128" t="n">
        <v>0</v>
      </c>
      <c r="S44" s="128" t="n">
        <v>0</v>
      </c>
      <c r="T44" s="128" t="n">
        <v>0</v>
      </c>
      <c r="U44" s="128" t="n">
        <v>0</v>
      </c>
      <c r="V44" s="128" t="n">
        <v>0</v>
      </c>
      <c r="W44" s="128" t="n">
        <v>0</v>
      </c>
      <c r="X44" s="128" t="n">
        <v>0</v>
      </c>
      <c r="Y44" s="128" t="n">
        <v>0</v>
      </c>
      <c r="Z44" s="129" t="n">
        <v>0</v>
      </c>
      <c r="AA44" s="104" t="n">
        <f aca="false">SUM(C44:Z44)</f>
        <v>0</v>
      </c>
    </row>
    <row r="45" customFormat="false" ht="12.75" hidden="false" customHeight="false" outlineLevel="1" collapsed="false">
      <c r="A45" s="58"/>
      <c r="B45" s="130" t="s">
        <v>75</v>
      </c>
      <c r="C45" s="131" t="n">
        <f aca="false">SUM(C46:C47)</f>
        <v>4269</v>
      </c>
      <c r="D45" s="132" t="n">
        <f aca="false">SUM(D46:D47)</f>
        <v>4269</v>
      </c>
      <c r="E45" s="132" t="n">
        <f aca="false">SUM(E46:E47)</f>
        <v>4270</v>
      </c>
      <c r="F45" s="132" t="n">
        <f aca="false">SUM(F46:F47)</f>
        <v>4270</v>
      </c>
      <c r="G45" s="132" t="n">
        <f aca="false">SUM(G46:G47)</f>
        <v>4270</v>
      </c>
      <c r="H45" s="132" t="n">
        <f aca="false">SUM(H46:H47)</f>
        <v>4270</v>
      </c>
      <c r="I45" s="132" t="n">
        <f aca="false">SUM(I46:I47)</f>
        <v>4270</v>
      </c>
      <c r="J45" s="132" t="n">
        <f aca="false">SUM(J46:J47)</f>
        <v>4270</v>
      </c>
      <c r="K45" s="132" t="n">
        <f aca="false">SUM(K46:K47)</f>
        <v>4270</v>
      </c>
      <c r="L45" s="132" t="n">
        <f aca="false">SUM(L46:L47)</f>
        <v>4270</v>
      </c>
      <c r="M45" s="132" t="n">
        <f aca="false">SUM(M46:M47)</f>
        <v>4270</v>
      </c>
      <c r="N45" s="132" t="n">
        <f aca="false">SUM(N46:N47)</f>
        <v>4270</v>
      </c>
      <c r="O45" s="132" t="n">
        <f aca="false">SUM(O46:O47)</f>
        <v>4660</v>
      </c>
      <c r="P45" s="132" t="n">
        <f aca="false">SUM(P46:P47)</f>
        <v>4660</v>
      </c>
      <c r="Q45" s="132" t="n">
        <f aca="false">SUM(Q46:Q47)</f>
        <v>4660</v>
      </c>
      <c r="R45" s="132" t="n">
        <f aca="false">SUM(R46:R47)</f>
        <v>4660</v>
      </c>
      <c r="S45" s="132" t="n">
        <f aca="false">SUM(S46:S47)</f>
        <v>4660</v>
      </c>
      <c r="T45" s="132" t="n">
        <f aca="false">SUM(T46:T47)</f>
        <v>4660</v>
      </c>
      <c r="U45" s="132" t="n">
        <f aca="false">SUM(U46:U47)</f>
        <v>4659</v>
      </c>
      <c r="V45" s="132" t="n">
        <f aca="false">SUM(V46:V47)</f>
        <v>4659</v>
      </c>
      <c r="W45" s="132" t="n">
        <f aca="false">SUM(W46:W47)</f>
        <v>4659</v>
      </c>
      <c r="X45" s="132" t="n">
        <f aca="false">SUM(X46:X47)</f>
        <v>4659</v>
      </c>
      <c r="Y45" s="132" t="n">
        <f aca="false">SUM(Y46:Y47)</f>
        <v>4659</v>
      </c>
      <c r="Z45" s="133" t="n">
        <f aca="false">SUM(Z46:Z47)</f>
        <v>4659</v>
      </c>
      <c r="AA45" s="110" t="n">
        <f aca="false">SUM(C45:Z45)</f>
        <v>107152</v>
      </c>
    </row>
    <row r="46" customFormat="false" ht="12.75" hidden="false" customHeight="false" outlineLevel="1" collapsed="false">
      <c r="A46" s="58"/>
      <c r="B46" s="134" t="s">
        <v>76</v>
      </c>
      <c r="C46" s="125" t="n">
        <f aca="false">1250</f>
        <v>1250</v>
      </c>
      <c r="D46" s="120" t="n">
        <f aca="false">$C46</f>
        <v>1250</v>
      </c>
      <c r="E46" s="120" t="n">
        <f aca="false">$C46</f>
        <v>1250</v>
      </c>
      <c r="F46" s="120" t="n">
        <f aca="false">$C46</f>
        <v>1250</v>
      </c>
      <c r="G46" s="120" t="n">
        <f aca="false">$C46</f>
        <v>1250</v>
      </c>
      <c r="H46" s="120" t="n">
        <f aca="false">$C46</f>
        <v>1250</v>
      </c>
      <c r="I46" s="120" t="n">
        <f aca="false">$C46</f>
        <v>1250</v>
      </c>
      <c r="J46" s="120" t="n">
        <f aca="false">$C46</f>
        <v>1250</v>
      </c>
      <c r="K46" s="120" t="n">
        <f aca="false">$C46</f>
        <v>1250</v>
      </c>
      <c r="L46" s="120" t="n">
        <f aca="false">$C46</f>
        <v>1250</v>
      </c>
      <c r="M46" s="120" t="n">
        <f aca="false">$C46</f>
        <v>1250</v>
      </c>
      <c r="N46" s="120" t="n">
        <f aca="false">$C46</f>
        <v>1250</v>
      </c>
      <c r="O46" s="120" t="n">
        <f aca="false">$C46</f>
        <v>1250</v>
      </c>
      <c r="P46" s="120" t="n">
        <f aca="false">$C46</f>
        <v>1250</v>
      </c>
      <c r="Q46" s="120" t="n">
        <f aca="false">$C46</f>
        <v>1250</v>
      </c>
      <c r="R46" s="120" t="n">
        <f aca="false">$C46</f>
        <v>1250</v>
      </c>
      <c r="S46" s="120" t="n">
        <f aca="false">$C46</f>
        <v>1250</v>
      </c>
      <c r="T46" s="120" t="n">
        <f aca="false">$C46</f>
        <v>1250</v>
      </c>
      <c r="U46" s="120" t="n">
        <f aca="false">$C46</f>
        <v>1250</v>
      </c>
      <c r="V46" s="120" t="n">
        <f aca="false">$C46</f>
        <v>1250</v>
      </c>
      <c r="W46" s="120" t="n">
        <f aca="false">$C46</f>
        <v>1250</v>
      </c>
      <c r="X46" s="120" t="n">
        <f aca="false">$C46</f>
        <v>1250</v>
      </c>
      <c r="Y46" s="120" t="n">
        <f aca="false">$C46</f>
        <v>1250</v>
      </c>
      <c r="Z46" s="121" t="n">
        <f aca="false">$C46</f>
        <v>1250</v>
      </c>
      <c r="AA46" s="115" t="n">
        <f aca="false">SUM(C46:Z46)</f>
        <v>30000</v>
      </c>
    </row>
    <row r="47" customFormat="false" ht="12.75" hidden="false" customHeight="false" outlineLevel="1" collapsed="false">
      <c r="A47" s="58"/>
      <c r="B47" s="100" t="s">
        <v>77</v>
      </c>
      <c r="C47" s="125" t="n">
        <v>3019</v>
      </c>
      <c r="D47" s="120" t="n">
        <v>3019</v>
      </c>
      <c r="E47" s="120" t="n">
        <v>3020</v>
      </c>
      <c r="F47" s="120" t="n">
        <v>3020</v>
      </c>
      <c r="G47" s="120" t="n">
        <v>3020</v>
      </c>
      <c r="H47" s="120" t="n">
        <v>3020</v>
      </c>
      <c r="I47" s="120" t="n">
        <v>3020</v>
      </c>
      <c r="J47" s="120" t="n">
        <v>3020</v>
      </c>
      <c r="K47" s="120" t="n">
        <v>3020</v>
      </c>
      <c r="L47" s="120" t="n">
        <v>3020</v>
      </c>
      <c r="M47" s="120" t="n">
        <v>3020</v>
      </c>
      <c r="N47" s="120" t="n">
        <v>3020</v>
      </c>
      <c r="O47" s="120" t="n">
        <v>3410</v>
      </c>
      <c r="P47" s="120" t="n">
        <v>3410</v>
      </c>
      <c r="Q47" s="120" t="n">
        <v>3410</v>
      </c>
      <c r="R47" s="120" t="n">
        <v>3410</v>
      </c>
      <c r="S47" s="120" t="n">
        <v>3410</v>
      </c>
      <c r="T47" s="120" t="n">
        <v>3410</v>
      </c>
      <c r="U47" s="120" t="n">
        <v>3409</v>
      </c>
      <c r="V47" s="120" t="n">
        <v>3409</v>
      </c>
      <c r="W47" s="120" t="n">
        <v>3409</v>
      </c>
      <c r="X47" s="120" t="n">
        <v>3409</v>
      </c>
      <c r="Y47" s="120" t="n">
        <v>3409</v>
      </c>
      <c r="Z47" s="121" t="n">
        <v>3409</v>
      </c>
      <c r="AA47" s="115" t="n">
        <f aca="false">SUM(C47:Z47)</f>
        <v>77152</v>
      </c>
    </row>
    <row r="48" customFormat="false" ht="15.95" hidden="false" customHeight="true" outlineLevel="1" collapsed="false">
      <c r="B48" s="79" t="s">
        <v>78</v>
      </c>
      <c r="C48" s="135"/>
      <c r="D48" s="136" t="n">
        <f aca="false">D33-D36</f>
        <v>27350</v>
      </c>
      <c r="E48" s="136" t="n">
        <f aca="false">E33-E36</f>
        <v>39349</v>
      </c>
      <c r="F48" s="136" t="n">
        <f aca="false">F33-F36</f>
        <v>39613</v>
      </c>
      <c r="G48" s="136" t="n">
        <f aca="false">G33-G36</f>
        <v>62223.4</v>
      </c>
      <c r="H48" s="136" t="n">
        <f aca="false">H33-H36</f>
        <v>92302.84</v>
      </c>
      <c r="I48" s="136" t="n">
        <f aca="false">I33-I36</f>
        <v>92654.224</v>
      </c>
      <c r="J48" s="136" t="n">
        <f aca="false">J33-J36</f>
        <v>93040.7464</v>
      </c>
      <c r="K48" s="137" t="n">
        <f aca="false">K33-K36</f>
        <v>93465.92104</v>
      </c>
      <c r="L48" s="137" t="n">
        <f aca="false">L33-L36</f>
        <v>93933.613144</v>
      </c>
      <c r="M48" s="137" t="n">
        <f aca="false">M33-M36</f>
        <v>94448.0744584</v>
      </c>
      <c r="N48" s="137" t="n">
        <f aca="false">N33-N36</f>
        <v>98733.98190424</v>
      </c>
      <c r="O48" s="137" t="n">
        <f aca="false">O33-O36</f>
        <v>98695.480094664</v>
      </c>
      <c r="P48" s="137" t="n">
        <f aca="false">P33-P36</f>
        <v>99380.2281041304</v>
      </c>
      <c r="Q48" s="137" t="n">
        <f aca="false">Q33-Q36</f>
        <v>103853.450914543</v>
      </c>
      <c r="R48" s="137" t="n">
        <f aca="false">R33-R36</f>
        <v>108401.996005998</v>
      </c>
      <c r="S48" s="137" t="n">
        <f aca="false">S33-S36</f>
        <v>105593.395606598</v>
      </c>
      <c r="T48" s="137" t="n">
        <f aca="false">T33-T36</f>
        <v>110315.935167257</v>
      </c>
      <c r="U48" s="137" t="n">
        <f aca="false">U33-U36</f>
        <v>111419.728683983</v>
      </c>
      <c r="V48" s="137" t="n">
        <f aca="false">V33-V36</f>
        <v>112632.801552381</v>
      </c>
      <c r="W48" s="137" t="n">
        <f aca="false">W33-W36</f>
        <v>117687.18170762</v>
      </c>
      <c r="X48" s="137" t="n">
        <f aca="false">X33-X36</f>
        <v>115434.999878381</v>
      </c>
      <c r="Y48" s="137" t="n">
        <f aca="false">Y33-Y36</f>
        <v>120769.59986622</v>
      </c>
      <c r="Z48" s="138" t="n">
        <f aca="false">Z33-Z36</f>
        <v>118825.659852842</v>
      </c>
      <c r="AA48" s="139" t="n">
        <f aca="false">SUM(C48:Z48)</f>
        <v>2150125.25838126</v>
      </c>
    </row>
    <row r="49" customFormat="false" ht="15.95" hidden="false" customHeight="true" outlineLevel="0" collapsed="false">
      <c r="B49" s="140" t="s">
        <v>79</v>
      </c>
      <c r="C49" s="141" t="n">
        <v>0</v>
      </c>
      <c r="D49" s="142" t="n">
        <f aca="false">D48</f>
        <v>27350</v>
      </c>
      <c r="E49" s="142" t="n">
        <f aca="false">D49+E48</f>
        <v>66699</v>
      </c>
      <c r="F49" s="142" t="n">
        <f aca="false">E49+F48</f>
        <v>106312</v>
      </c>
      <c r="G49" s="142" t="n">
        <f aca="false">F49+G48</f>
        <v>168535.4</v>
      </c>
      <c r="H49" s="142" t="n">
        <f aca="false">G49+H48</f>
        <v>260838.24</v>
      </c>
      <c r="I49" s="142" t="n">
        <f aca="false">H49+I48</f>
        <v>353492.464</v>
      </c>
      <c r="J49" s="142" t="n">
        <f aca="false">I49+J48</f>
        <v>446533.2104</v>
      </c>
      <c r="K49" s="142" t="n">
        <f aca="false">J49+K48</f>
        <v>539999.13144</v>
      </c>
      <c r="L49" s="142" t="n">
        <f aca="false">K49+L48</f>
        <v>633932.744584</v>
      </c>
      <c r="M49" s="142" t="n">
        <f aca="false">L49+M48</f>
        <v>728380.8190424</v>
      </c>
      <c r="N49" s="142" t="n">
        <f aca="false">M49+N48</f>
        <v>827114.80094664</v>
      </c>
      <c r="O49" s="142" t="n">
        <f aca="false">N49+O48</f>
        <v>925810.281041304</v>
      </c>
      <c r="P49" s="142" t="n">
        <f aca="false">O49+P48</f>
        <v>1025190.50914543</v>
      </c>
      <c r="Q49" s="142" t="n">
        <f aca="false">P49+Q48</f>
        <v>1129043.96005998</v>
      </c>
      <c r="R49" s="142" t="n">
        <f aca="false">Q49+R48</f>
        <v>1237445.95606598</v>
      </c>
      <c r="S49" s="142" t="n">
        <f aca="false">R49+S48</f>
        <v>1343039.35167257</v>
      </c>
      <c r="T49" s="142" t="n">
        <f aca="false">S49+T48</f>
        <v>1453355.28683983</v>
      </c>
      <c r="U49" s="142" t="n">
        <f aca="false">T49+U48</f>
        <v>1564775.01552381</v>
      </c>
      <c r="V49" s="142" t="n">
        <f aca="false">U49+V48</f>
        <v>1677407.81707619</v>
      </c>
      <c r="W49" s="142" t="n">
        <f aca="false">V49+W48</f>
        <v>1795094.99878381</v>
      </c>
      <c r="X49" s="142" t="n">
        <f aca="false">W49+X48</f>
        <v>1910529.9986622</v>
      </c>
      <c r="Y49" s="142" t="n">
        <f aca="false">X49+Y48</f>
        <v>2031299.59852841</v>
      </c>
      <c r="Z49" s="143" t="n">
        <f aca="false">Y49+Z48</f>
        <v>2150125.25838126</v>
      </c>
      <c r="AA49" s="115"/>
    </row>
    <row r="50" customFormat="false" ht="15" hidden="false" customHeight="true" outlineLevel="0" collapsed="false">
      <c r="B50" s="144" t="s">
        <v>80</v>
      </c>
      <c r="C50" s="145" t="n">
        <f aca="false">-C23-C36</f>
        <v>-760269</v>
      </c>
      <c r="D50" s="146" t="n">
        <f aca="false">C50+D48</f>
        <v>-732919</v>
      </c>
      <c r="E50" s="146" t="n">
        <f aca="false">D50+E48</f>
        <v>-693570</v>
      </c>
      <c r="F50" s="146" t="n">
        <f aca="false">E50+F48</f>
        <v>-653957</v>
      </c>
      <c r="G50" s="146" t="n">
        <f aca="false">F50+G48</f>
        <v>-591733.6</v>
      </c>
      <c r="H50" s="146" t="n">
        <f aca="false">G50+H48</f>
        <v>-499430.76</v>
      </c>
      <c r="I50" s="146" t="n">
        <f aca="false">H50+I48</f>
        <v>-406776.536</v>
      </c>
      <c r="J50" s="146" t="n">
        <f aca="false">I50+J48</f>
        <v>-313735.7896</v>
      </c>
      <c r="K50" s="147" t="n">
        <f aca="false">J50+K48</f>
        <v>-220269.86856</v>
      </c>
      <c r="L50" s="147" t="n">
        <f aca="false">K50+L48</f>
        <v>-126336.255416</v>
      </c>
      <c r="M50" s="147" t="n">
        <f aca="false">L50+M48</f>
        <v>-31888.1809576001</v>
      </c>
      <c r="N50" s="147" t="n">
        <f aca="false">M50+N48</f>
        <v>66845.8009466399</v>
      </c>
      <c r="O50" s="147" t="n">
        <f aca="false">N50+O48</f>
        <v>165541.281041304</v>
      </c>
      <c r="P50" s="147" t="n">
        <f aca="false">O50+P48</f>
        <v>264921.509145434</v>
      </c>
      <c r="Q50" s="147" t="n">
        <f aca="false">P50+Q48</f>
        <v>368774.960059978</v>
      </c>
      <c r="R50" s="147" t="n">
        <f aca="false">Q50+R48</f>
        <v>477176.956065975</v>
      </c>
      <c r="S50" s="147" t="n">
        <f aca="false">R50+S48</f>
        <v>582770.351672573</v>
      </c>
      <c r="T50" s="147" t="n">
        <f aca="false">S50+T48</f>
        <v>693086.28683983</v>
      </c>
      <c r="U50" s="147" t="n">
        <f aca="false">T50+U48</f>
        <v>804506.015523813</v>
      </c>
      <c r="V50" s="147" t="n">
        <f aca="false">U50+V48</f>
        <v>917138.817076195</v>
      </c>
      <c r="W50" s="147" t="n">
        <f aca="false">V50+W48</f>
        <v>1034825.99878381</v>
      </c>
      <c r="X50" s="147" t="n">
        <f aca="false">W50+X48</f>
        <v>1150260.9986622</v>
      </c>
      <c r="Y50" s="147" t="n">
        <f aca="false">X50+Y48</f>
        <v>1271030.59852842</v>
      </c>
      <c r="Z50" s="148" t="n">
        <f aca="false">Y50+Z48</f>
        <v>1389856.25838126</v>
      </c>
      <c r="AA50" s="115" t="n">
        <f aca="false">SUM(C50:Z50)</f>
        <v>4155849.84219382</v>
      </c>
    </row>
    <row r="51" customFormat="false" ht="14.1" hidden="false" customHeight="true" outlineLevel="0" collapsed="false">
      <c r="B51" s="144" t="s">
        <v>81</v>
      </c>
      <c r="C51" s="145"/>
      <c r="D51" s="147" t="n">
        <f aca="false">D48/D33</f>
        <v>0.255130597014925</v>
      </c>
      <c r="E51" s="147" t="n">
        <f aca="false">E48/E33</f>
        <v>0.189908301158301</v>
      </c>
      <c r="F51" s="147" t="n">
        <f aca="false">F48/F33</f>
        <v>0.190373894655902</v>
      </c>
      <c r="G51" s="147" t="n">
        <f aca="false">G48/G33</f>
        <v>0.219523157686771</v>
      </c>
      <c r="H51" s="147" t="n">
        <f aca="false">H48/H33</f>
        <v>0.240551891935844</v>
      </c>
      <c r="I51" s="147" t="n">
        <f aca="false">I48/I33</f>
        <v>0.240732804536888</v>
      </c>
      <c r="J51" s="147" t="n">
        <f aca="false">J48/J33</f>
        <v>0.240930540862352</v>
      </c>
      <c r="K51" s="147" t="n">
        <f aca="false">K48/K33</f>
        <v>0.241146532443477</v>
      </c>
      <c r="L51" s="147" t="n">
        <f aca="false">L48/L33</f>
        <v>0.241382306080718</v>
      </c>
      <c r="M51" s="147" t="n">
        <f aca="false">M48/M33</f>
        <v>0.241639484776696</v>
      </c>
      <c r="N51" s="147" t="n">
        <f aca="false">N48/N33</f>
        <v>0.243697387643765</v>
      </c>
      <c r="O51" s="147" t="n">
        <f aca="false">O48/O33</f>
        <v>0.242361093193183</v>
      </c>
      <c r="P51" s="147" t="n">
        <f aca="false">P48/P33</f>
        <v>0.242682358239107</v>
      </c>
      <c r="Q51" s="147" t="n">
        <f aca="false">Q48/Q33</f>
        <v>0.24469605291462</v>
      </c>
      <c r="R51" s="147" t="n">
        <f aca="false">R48/R33</f>
        <v>0.246603574523671</v>
      </c>
      <c r="S51" s="147" t="n">
        <f aca="false">S48/S33</f>
        <v>0.245441611464444</v>
      </c>
      <c r="T51" s="147" t="n">
        <f aca="false">T48/T33</f>
        <v>0.247367451398388</v>
      </c>
      <c r="U51" s="147" t="n">
        <f aca="false">U48/U33</f>
        <v>0.247799970622917</v>
      </c>
      <c r="V51" s="147" t="n">
        <f aca="false">V48/V33</f>
        <v>0.248265221693385</v>
      </c>
      <c r="W51" s="147" t="n">
        <f aca="false">W48/W33</f>
        <v>0.250117662930905</v>
      </c>
      <c r="X51" s="147" t="n">
        <f aca="false">X48/X33</f>
        <v>0.249308885100968</v>
      </c>
      <c r="Y51" s="147" t="n">
        <f aca="false">Y48/Y33</f>
        <v>0.251183647277322</v>
      </c>
      <c r="Z51" s="148" t="n">
        <f aca="false">Z48/Z33</f>
        <v>0.250516758388553</v>
      </c>
      <c r="AA51" s="149" t="n">
        <f aca="false">AVERAGE(D51:Z51)</f>
        <v>0.239624399414917</v>
      </c>
    </row>
    <row r="52" customFormat="false" ht="15" hidden="false" customHeight="true" outlineLevel="0" collapsed="false">
      <c r="B52" s="150" t="s">
        <v>82</v>
      </c>
      <c r="C52" s="151" t="n">
        <f aca="false">C33-SUM(C37:C44)</f>
        <v>0</v>
      </c>
      <c r="D52" s="152" t="n">
        <f aca="false">D33-SUM(D37:D44)</f>
        <v>31619</v>
      </c>
      <c r="E52" s="152" t="n">
        <f aca="false">E33-SUM(E37:E44)</f>
        <v>43619</v>
      </c>
      <c r="F52" s="152" t="n">
        <f aca="false">F33-SUM(F37:F44)</f>
        <v>43883</v>
      </c>
      <c r="G52" s="152" t="n">
        <f aca="false">G33-SUM(G37:G44)</f>
        <v>66493.4</v>
      </c>
      <c r="H52" s="152" t="n">
        <f aca="false">H33-SUM(H37:H44)</f>
        <v>96572.84</v>
      </c>
      <c r="I52" s="152" t="n">
        <f aca="false">I33-SUM(I37:I44)</f>
        <v>96924.224</v>
      </c>
      <c r="J52" s="152" t="n">
        <f aca="false">J33-SUM(J37:J44)</f>
        <v>97310.7464</v>
      </c>
      <c r="K52" s="152" t="n">
        <f aca="false">K33-SUM(K37:K44)</f>
        <v>97735.92104</v>
      </c>
      <c r="L52" s="152" t="n">
        <f aca="false">L33-SUM(L37:L44)</f>
        <v>98203.613144</v>
      </c>
      <c r="M52" s="152" t="n">
        <f aca="false">M33-SUM(M37:M44)</f>
        <v>98718.0744584</v>
      </c>
      <c r="N52" s="152" t="n">
        <f aca="false">N33-SUM(N37:N44)</f>
        <v>103003.98190424</v>
      </c>
      <c r="O52" s="152" t="n">
        <f aca="false">O33-SUM(O37:O44)</f>
        <v>103355.480094664</v>
      </c>
      <c r="P52" s="152" t="n">
        <f aca="false">P33-SUM(P37:P44)</f>
        <v>104040.22810413</v>
      </c>
      <c r="Q52" s="152" t="n">
        <f aca="false">Q33-SUM(Q37:Q44)</f>
        <v>108513.450914543</v>
      </c>
      <c r="R52" s="152" t="n">
        <f aca="false">R33-SUM(R37:R44)</f>
        <v>113061.996005998</v>
      </c>
      <c r="S52" s="152" t="n">
        <f aca="false">S33-SUM(S37:S44)</f>
        <v>110253.395606598</v>
      </c>
      <c r="T52" s="152" t="n">
        <f aca="false">T33-SUM(T37:T44)</f>
        <v>114975.935167257</v>
      </c>
      <c r="U52" s="152" t="n">
        <f aca="false">U33-SUM(U37:U44)</f>
        <v>116078.728683983</v>
      </c>
      <c r="V52" s="152" t="n">
        <f aca="false">V33-SUM(V37:V44)</f>
        <v>117291.801552381</v>
      </c>
      <c r="W52" s="152" t="n">
        <f aca="false">W33-SUM(W37:W44)</f>
        <v>122346.18170762</v>
      </c>
      <c r="X52" s="152" t="n">
        <f aca="false">X33-SUM(X37:X44)</f>
        <v>120093.999878381</v>
      </c>
      <c r="Y52" s="152" t="n">
        <f aca="false">Y33-SUM(Y37:Y44)</f>
        <v>125428.59986622</v>
      </c>
      <c r="Z52" s="153" t="n">
        <f aca="false">Z33-SUM(Z37:Z44)</f>
        <v>123484.659852842</v>
      </c>
      <c r="AA52" s="154"/>
    </row>
    <row r="54" customFormat="false" ht="45.95" hidden="false" customHeight="true" outlineLevel="0" collapsed="false">
      <c r="B54" s="155" t="s">
        <v>83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7"/>
      <c r="V54" s="12"/>
      <c r="W54" s="12"/>
      <c r="X54" s="12"/>
      <c r="Y54" s="12"/>
      <c r="Z54" s="12"/>
      <c r="AA54" s="158" t="s">
        <v>62</v>
      </c>
    </row>
    <row r="55" customFormat="false" ht="15" hidden="false" customHeight="true" outlineLevel="0" collapsed="false">
      <c r="B55" s="159" t="s">
        <v>84</v>
      </c>
      <c r="C55" s="160" t="s">
        <v>38</v>
      </c>
      <c r="D55" s="160" t="s">
        <v>39</v>
      </c>
      <c r="E55" s="160" t="s">
        <v>40</v>
      </c>
      <c r="F55" s="160" t="s">
        <v>41</v>
      </c>
      <c r="G55" s="160" t="s">
        <v>42</v>
      </c>
      <c r="H55" s="160" t="s">
        <v>43</v>
      </c>
      <c r="I55" s="160" t="s">
        <v>44</v>
      </c>
      <c r="J55" s="160" t="s">
        <v>45</v>
      </c>
      <c r="K55" s="160" t="s">
        <v>46</v>
      </c>
      <c r="L55" s="160" t="s">
        <v>47</v>
      </c>
      <c r="M55" s="160" t="s">
        <v>48</v>
      </c>
      <c r="N55" s="160" t="s">
        <v>49</v>
      </c>
      <c r="O55" s="160" t="s">
        <v>50</v>
      </c>
      <c r="P55" s="160" t="s">
        <v>51</v>
      </c>
      <c r="Q55" s="160" t="s">
        <v>52</v>
      </c>
      <c r="R55" s="160" t="s">
        <v>53</v>
      </c>
      <c r="S55" s="160" t="s">
        <v>54</v>
      </c>
      <c r="T55" s="160" t="s">
        <v>55</v>
      </c>
      <c r="U55" s="161" t="s">
        <v>56</v>
      </c>
      <c r="V55" s="161" t="s">
        <v>57</v>
      </c>
      <c r="W55" s="161" t="s">
        <v>58</v>
      </c>
      <c r="X55" s="161" t="s">
        <v>59</v>
      </c>
      <c r="Y55" s="161" t="s">
        <v>60</v>
      </c>
      <c r="Z55" s="162" t="s">
        <v>61</v>
      </c>
      <c r="AA55" s="163" t="s">
        <v>85</v>
      </c>
    </row>
    <row r="56" customFormat="false" ht="42.95" hidden="false" customHeight="true" outlineLevel="0" collapsed="false">
      <c r="B56" s="164" t="s">
        <v>86</v>
      </c>
      <c r="C56" s="165" t="n">
        <f aca="false">C33</f>
        <v>0</v>
      </c>
      <c r="D56" s="165" t="n">
        <f aca="false">D33</f>
        <v>107200</v>
      </c>
      <c r="E56" s="165" t="n">
        <f aca="false">E33</f>
        <v>207200</v>
      </c>
      <c r="F56" s="165" t="n">
        <f aca="false">F33</f>
        <v>208080</v>
      </c>
      <c r="G56" s="165" t="n">
        <f aca="false">G33</f>
        <v>283448</v>
      </c>
      <c r="H56" s="165" t="n">
        <f aca="false">H33</f>
        <v>383712.8</v>
      </c>
      <c r="I56" s="165" t="n">
        <f aca="false">I33</f>
        <v>384884.08</v>
      </c>
      <c r="J56" s="165" t="n">
        <f aca="false">J33</f>
        <v>386172.488</v>
      </c>
      <c r="K56" s="165" t="n">
        <f aca="false">K33</f>
        <v>387589.7368</v>
      </c>
      <c r="L56" s="165" t="n">
        <f aca="false">L33</f>
        <v>389148.71048</v>
      </c>
      <c r="M56" s="165" t="n">
        <f aca="false">M33</f>
        <v>390863.581528</v>
      </c>
      <c r="N56" s="165" t="n">
        <f aca="false">N33</f>
        <v>405149.9396808</v>
      </c>
      <c r="O56" s="165" t="n">
        <f aca="false">O33</f>
        <v>407224.93364888</v>
      </c>
      <c r="P56" s="165" t="n">
        <f aca="false">P33</f>
        <v>409507.427013768</v>
      </c>
      <c r="Q56" s="165" t="n">
        <f aca="false">Q33</f>
        <v>424418.169715145</v>
      </c>
      <c r="R56" s="165" t="n">
        <f aca="false">R33</f>
        <v>439579.986686659</v>
      </c>
      <c r="S56" s="165" t="n">
        <f aca="false">S33</f>
        <v>430217.985355325</v>
      </c>
      <c r="T56" s="165" t="n">
        <f aca="false">T33</f>
        <v>445959.783890858</v>
      </c>
      <c r="U56" s="165" t="n">
        <f aca="false">U33</f>
        <v>449635.762279944</v>
      </c>
      <c r="V56" s="165" t="n">
        <f aca="false">V33</f>
        <v>453679.338507938</v>
      </c>
      <c r="W56" s="165" t="n">
        <f aca="false">W33</f>
        <v>470527.272358732</v>
      </c>
      <c r="X56" s="165" t="n">
        <f aca="false">X33</f>
        <v>463019.999594605</v>
      </c>
      <c r="Y56" s="165" t="n">
        <f aca="false">Y33</f>
        <v>480801.999554065</v>
      </c>
      <c r="Z56" s="166" t="n">
        <f aca="false">Z33</f>
        <v>474322.199509472</v>
      </c>
      <c r="AA56" s="167" t="n">
        <f aca="false">SUM(C56:Z56)</f>
        <v>8882344.19460419</v>
      </c>
    </row>
    <row r="57" s="12" customFormat="true" ht="40.5" hidden="false" customHeight="true" outlineLevel="0" collapsed="false">
      <c r="B57" s="168" t="s">
        <v>87</v>
      </c>
      <c r="C57" s="169" t="n">
        <f aca="false">C52-C45</f>
        <v>-4269</v>
      </c>
      <c r="D57" s="169" t="n">
        <f aca="false">D52-D45</f>
        <v>27350</v>
      </c>
      <c r="E57" s="169" t="n">
        <f aca="false">E52-E45</f>
        <v>39349</v>
      </c>
      <c r="F57" s="169" t="n">
        <f aca="false">F52-F45</f>
        <v>39613</v>
      </c>
      <c r="G57" s="169" t="n">
        <f aca="false">G52-G45</f>
        <v>62223.4</v>
      </c>
      <c r="H57" s="169" t="n">
        <f aca="false">H52-H45</f>
        <v>92302.84</v>
      </c>
      <c r="I57" s="169" t="n">
        <f aca="false">I52-I45</f>
        <v>92654.224</v>
      </c>
      <c r="J57" s="169" t="n">
        <f aca="false">J52-J45</f>
        <v>93040.7464</v>
      </c>
      <c r="K57" s="169" t="n">
        <f aca="false">K52-K45</f>
        <v>93465.92104</v>
      </c>
      <c r="L57" s="169" t="n">
        <f aca="false">L52-L45</f>
        <v>93933.613144</v>
      </c>
      <c r="M57" s="169" t="n">
        <f aca="false">M52-M45</f>
        <v>94448.0744584</v>
      </c>
      <c r="N57" s="169" t="n">
        <f aca="false">N52-N45</f>
        <v>98733.98190424</v>
      </c>
      <c r="O57" s="169" t="n">
        <f aca="false">O52-O45</f>
        <v>98695.480094664</v>
      </c>
      <c r="P57" s="169" t="n">
        <f aca="false">P52-P45</f>
        <v>99380.2281041304</v>
      </c>
      <c r="Q57" s="169" t="n">
        <f aca="false">Q52-Q45</f>
        <v>103853.450914543</v>
      </c>
      <c r="R57" s="169" t="n">
        <f aca="false">R52-R45</f>
        <v>108401.996005998</v>
      </c>
      <c r="S57" s="169" t="n">
        <f aca="false">S52-S45</f>
        <v>105593.395606598</v>
      </c>
      <c r="T57" s="169" t="n">
        <f aca="false">T52-T45</f>
        <v>110315.935167257</v>
      </c>
      <c r="U57" s="169" t="n">
        <f aca="false">U52-U45</f>
        <v>111419.728683983</v>
      </c>
      <c r="V57" s="169" t="n">
        <f aca="false">V52-V45</f>
        <v>112632.801552381</v>
      </c>
      <c r="W57" s="169" t="n">
        <f aca="false">W52-W45</f>
        <v>117687.18170762</v>
      </c>
      <c r="X57" s="169" t="n">
        <f aca="false">X52-X45</f>
        <v>115434.999878381</v>
      </c>
      <c r="Y57" s="169" t="n">
        <f aca="false">Y52-Y45</f>
        <v>120769.59986622</v>
      </c>
      <c r="Z57" s="170" t="n">
        <f aca="false">Z52-Z45</f>
        <v>118825.659852842</v>
      </c>
      <c r="AA57" s="171" t="n">
        <f aca="false">SUM(C57:Z57)</f>
        <v>2145856.25838126</v>
      </c>
    </row>
    <row r="58" customFormat="false" ht="12.75" hidden="false" customHeight="false" outlineLevel="0" collapsed="false">
      <c r="B58" s="172"/>
      <c r="C58" s="173" t="n">
        <f aca="false">SUM(C57:N57)</f>
        <v>822845.80094664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4" t="n">
        <f aca="false">SUM(O57:Z57)</f>
        <v>1323010.45743462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5" t="n">
        <f aca="false">C58+O58</f>
        <v>2145856.25838126</v>
      </c>
    </row>
    <row r="59" customFormat="false" ht="12.75" hidden="false" customHeight="false" outlineLevel="0" collapsed="false">
      <c r="B59" s="17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71"/>
    </row>
    <row r="60" customFormat="false" ht="12.75" hidden="false" customHeight="false" outlineLevel="0" collapsed="false">
      <c r="B60" s="17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71"/>
    </row>
    <row r="61" customFormat="false" ht="12.75" hidden="false" customHeight="false" outlineLevel="0" collapsed="false"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</row>
    <row r="62" customFormat="false" ht="12.75" hidden="false" customHeight="false" outlineLevel="0" collapsed="false">
      <c r="B62" s="179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customFormat="false" ht="12.75" hidden="false" customHeight="false" outlineLevel="0" collapsed="false">
      <c r="B63" s="180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71"/>
    </row>
    <row r="66" customFormat="false" ht="12.75" hidden="false" customHeight="false" outlineLevel="0" collapsed="false">
      <c r="B66" s="78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71"/>
    </row>
    <row r="67" customFormat="false" ht="12.75" hidden="false" customHeight="false" outlineLevel="0" collapsed="false"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</row>
    <row r="68" customFormat="false" ht="12.75" hidden="false" customHeight="false" outlineLevel="0" collapsed="false">
      <c r="C68" s="182" t="s">
        <v>36</v>
      </c>
      <c r="D68" s="182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</row>
    <row r="75" customFormat="false" ht="12.75" hidden="false" customHeight="false" outlineLevel="0" collapsed="false"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customFormat="false" ht="12.75" hidden="false" customHeight="false" outlineLevel="0" collapsed="false">
      <c r="B76" s="17" t="s">
        <v>88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2"/>
    </row>
    <row r="77" customFormat="false" ht="12.75" hidden="false" customHeight="false" outlineLevel="0" collapsed="false">
      <c r="B77" s="185" t="s">
        <v>89</v>
      </c>
      <c r="C77" s="185"/>
      <c r="E77" s="185" t="s">
        <v>90</v>
      </c>
      <c r="F77" s="185"/>
      <c r="H77" s="185" t="s">
        <v>91</v>
      </c>
      <c r="I77" s="185"/>
      <c r="J77" s="185"/>
      <c r="M77" s="185" t="s">
        <v>92</v>
      </c>
      <c r="N77" s="185"/>
      <c r="O77" s="185"/>
      <c r="P77" s="185"/>
    </row>
    <row r="78" customFormat="false" ht="12.75" hidden="false" customHeight="false" outlineLevel="0" collapsed="false">
      <c r="B78" s="186" t="s">
        <v>93</v>
      </c>
      <c r="C78" s="187" t="s">
        <v>94</v>
      </c>
      <c r="E78" s="188" t="s">
        <v>93</v>
      </c>
      <c r="F78" s="189" t="s">
        <v>94</v>
      </c>
      <c r="H78" s="186" t="s">
        <v>93</v>
      </c>
      <c r="I78" s="190" t="s">
        <v>94</v>
      </c>
      <c r="J78" s="187" t="s">
        <v>95</v>
      </c>
      <c r="M78" s="188" t="s">
        <v>93</v>
      </c>
      <c r="N78" s="191" t="s">
        <v>95</v>
      </c>
      <c r="O78" s="191" t="s">
        <v>94</v>
      </c>
      <c r="P78" s="189" t="s">
        <v>96</v>
      </c>
    </row>
    <row r="79" customFormat="false" ht="12.75" hidden="false" customHeight="false" outlineLevel="0" collapsed="false">
      <c r="B79" s="192" t="n">
        <v>0</v>
      </c>
      <c r="C79" s="193" t="n">
        <f aca="false">-C23</f>
        <v>-756000</v>
      </c>
      <c r="E79" s="194" t="n">
        <v>0</v>
      </c>
      <c r="F79" s="195" t="n">
        <f aca="false">C79</f>
        <v>-756000</v>
      </c>
      <c r="H79" s="192" t="n">
        <v>0</v>
      </c>
      <c r="I79" s="196"/>
      <c r="J79" s="193" t="n">
        <v>238000</v>
      </c>
      <c r="M79" s="194" t="n">
        <v>0</v>
      </c>
      <c r="N79" s="197" t="n">
        <v>238000</v>
      </c>
      <c r="O79" s="198"/>
      <c r="P79" s="199" t="n">
        <f aca="false">-N79</f>
        <v>-238000</v>
      </c>
    </row>
    <row r="80" customFormat="false" ht="12.75" hidden="false" customHeight="false" outlineLevel="0" collapsed="false">
      <c r="B80" s="192" t="n">
        <v>1</v>
      </c>
      <c r="C80" s="193" t="n">
        <f aca="false">C58</f>
        <v>822845.80094664</v>
      </c>
      <c r="E80" s="192" t="n">
        <v>1</v>
      </c>
      <c r="F80" s="193" t="n">
        <f aca="false">C80</f>
        <v>822845.80094664</v>
      </c>
      <c r="H80" s="192" t="n">
        <v>1</v>
      </c>
      <c r="I80" s="200" t="n">
        <f aca="false">F80</f>
        <v>822845.80094664</v>
      </c>
      <c r="J80" s="201"/>
      <c r="M80" s="192" t="n">
        <v>1</v>
      </c>
      <c r="N80" s="200" t="n">
        <v>238000</v>
      </c>
      <c r="O80" s="200" t="n">
        <f aca="false">I80</f>
        <v>822845.80094664</v>
      </c>
      <c r="P80" s="202" t="n">
        <f aca="false">O80+P79</f>
        <v>584845.80094664</v>
      </c>
    </row>
    <row r="81" customFormat="false" ht="12.75" hidden="false" customHeight="false" outlineLevel="0" collapsed="false">
      <c r="B81" s="203" t="n">
        <v>2</v>
      </c>
      <c r="C81" s="204" t="n">
        <f aca="false">O58</f>
        <v>1323010.45743462</v>
      </c>
      <c r="E81" s="203" t="n">
        <v>2</v>
      </c>
      <c r="F81" s="193" t="n">
        <f aca="false">C81</f>
        <v>1323010.45743462</v>
      </c>
      <c r="H81" s="192" t="n">
        <v>2</v>
      </c>
      <c r="I81" s="200" t="n">
        <f aca="false">F81</f>
        <v>1323010.45743462</v>
      </c>
      <c r="J81" s="201"/>
      <c r="M81" s="205" t="n">
        <v>2</v>
      </c>
      <c r="N81" s="206" t="n">
        <v>238000</v>
      </c>
      <c r="O81" s="207" t="n">
        <f aca="false">I81</f>
        <v>1323010.45743462</v>
      </c>
      <c r="P81" s="208" t="n">
        <f aca="false">O81+P80</f>
        <v>1907856.25838126</v>
      </c>
    </row>
    <row r="82" customFormat="false" ht="12.75" hidden="false" customHeight="false" outlineLevel="0" collapsed="false">
      <c r="B82" s="209" t="s">
        <v>97</v>
      </c>
      <c r="C82" s="210" t="n">
        <f aca="false">IRR(C79:C81)</f>
        <v>0.974657164530233</v>
      </c>
      <c r="E82" s="209" t="s">
        <v>98</v>
      </c>
      <c r="F82" s="211" t="n">
        <f aca="false">F85+F79</f>
        <v>464928.051773061</v>
      </c>
      <c r="H82" s="212" t="s">
        <v>99</v>
      </c>
      <c r="I82" s="212"/>
      <c r="J82" s="213" t="n">
        <f aca="false">F82/J79</f>
        <v>1.95347920913051</v>
      </c>
      <c r="M82" s="214"/>
      <c r="N82" s="215"/>
      <c r="O82" s="216" t="s">
        <v>100</v>
      </c>
      <c r="P82" s="217" t="s">
        <v>101</v>
      </c>
    </row>
    <row r="83" customFormat="false" ht="12.75" hidden="false" customHeight="false" outlineLevel="0" collapsed="false">
      <c r="B83" s="218"/>
      <c r="C83" s="218"/>
      <c r="D83" s="218"/>
      <c r="H83" s="214"/>
      <c r="I83" s="219"/>
      <c r="J83" s="220"/>
      <c r="M83" s="214"/>
      <c r="N83" s="215"/>
      <c r="O83" s="221"/>
      <c r="P83" s="221"/>
    </row>
    <row r="84" customFormat="false" ht="12.75" hidden="false" customHeight="false" outlineLevel="0" collapsed="false">
      <c r="B84" s="218"/>
      <c r="C84" s="218"/>
      <c r="D84" s="218"/>
      <c r="E84" s="222" t="s">
        <v>102</v>
      </c>
      <c r="F84" s="223" t="n">
        <f aca="false">E92</f>
        <v>0.431125</v>
      </c>
    </row>
    <row r="85" customFormat="false" ht="12.75" hidden="false" customHeight="false" outlineLevel="0" collapsed="false">
      <c r="B85" s="218"/>
      <c r="C85" s="218"/>
      <c r="D85" s="218"/>
      <c r="E85" s="224" t="s">
        <v>103</v>
      </c>
      <c r="F85" s="225" t="n">
        <f aca="false">NPV(F84,F80:F81)</f>
        <v>1220928.05177306</v>
      </c>
      <c r="I85" s="214"/>
      <c r="J85" s="215"/>
    </row>
    <row r="86" customFormat="false" ht="12.75" hidden="false" customHeight="false" outlineLevel="0" collapsed="false">
      <c r="B86" s="218"/>
      <c r="C86" s="218"/>
      <c r="D86" s="218"/>
      <c r="I86" s="214"/>
      <c r="J86" s="215"/>
    </row>
    <row r="87" customFormat="false" ht="12.75" hidden="false" customHeight="true" outlineLevel="0" collapsed="false">
      <c r="B87" s="218"/>
      <c r="C87" s="218"/>
      <c r="D87" s="218"/>
      <c r="E87" s="226" t="s">
        <v>104</v>
      </c>
      <c r="F87" s="226"/>
      <c r="I87" s="218"/>
      <c r="J87" s="218"/>
    </row>
    <row r="88" customFormat="false" ht="12.75" hidden="false" customHeight="false" outlineLevel="0" collapsed="false">
      <c r="B88" s="218"/>
      <c r="C88" s="218"/>
      <c r="D88" s="218"/>
      <c r="E88" s="226"/>
      <c r="F88" s="226"/>
      <c r="I88" s="218"/>
      <c r="J88" s="218"/>
    </row>
    <row r="89" customFormat="false" ht="12.75" hidden="false" customHeight="false" outlineLevel="0" collapsed="false">
      <c r="B89" s="218"/>
      <c r="C89" s="218"/>
      <c r="D89" s="218"/>
      <c r="E89" s="226"/>
      <c r="F89" s="226"/>
    </row>
    <row r="90" customFormat="false" ht="12.75" hidden="false" customHeight="false" outlineLevel="0" collapsed="false">
      <c r="B90" s="218"/>
      <c r="C90" s="218"/>
      <c r="D90" s="218"/>
      <c r="E90" s="226"/>
      <c r="F90" s="226"/>
    </row>
    <row r="91" customFormat="false" ht="12.75" hidden="false" customHeight="false" outlineLevel="0" collapsed="false">
      <c r="B91" s="218"/>
      <c r="C91" s="218"/>
      <c r="D91" s="218"/>
      <c r="E91" s="226"/>
      <c r="F91" s="226"/>
    </row>
    <row r="92" customFormat="false" ht="12.75" hidden="false" customHeight="false" outlineLevel="0" collapsed="false">
      <c r="B92" s="218"/>
      <c r="C92" s="218"/>
      <c r="D92" s="218"/>
      <c r="E92" s="227" t="n">
        <f aca="false">(0.15*(1-0.15)*0.75+0.17*0.25)+0.2+0.05+0.043</f>
        <v>0.431125</v>
      </c>
      <c r="F92" s="227"/>
    </row>
    <row r="93" customFormat="false" ht="12.75" hidden="false" customHeight="false" outlineLevel="0" collapsed="false">
      <c r="B93" s="218"/>
      <c r="C93" s="218"/>
      <c r="D93" s="218"/>
      <c r="E93" s="227"/>
      <c r="F93" s="227"/>
    </row>
    <row r="94" customFormat="false" ht="12.75" hidden="false" customHeight="false" outlineLevel="0" collapsed="false">
      <c r="B94" s="218"/>
      <c r="C94" s="218"/>
      <c r="D94" s="218"/>
      <c r="E94" s="227"/>
      <c r="F94" s="227"/>
    </row>
    <row r="95" customFormat="false" ht="12.75" hidden="false" customHeight="false" outlineLevel="0" collapsed="false">
      <c r="B95" s="218"/>
      <c r="C95" s="218"/>
      <c r="D95" s="218"/>
      <c r="E95" s="227"/>
      <c r="F95" s="227"/>
    </row>
  </sheetData>
  <mergeCells count="22">
    <mergeCell ref="F7:G7"/>
    <mergeCell ref="I7:L7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C58:N58"/>
    <mergeCell ref="O58:Z58"/>
    <mergeCell ref="B76:P76"/>
    <mergeCell ref="B77:C77"/>
    <mergeCell ref="E77:F77"/>
    <mergeCell ref="H77:J77"/>
    <mergeCell ref="M77:P77"/>
    <mergeCell ref="H82:I82"/>
    <mergeCell ref="E87:F91"/>
    <mergeCell ref="E92:F95"/>
  </mergeCells>
  <dataValidations count="1">
    <dataValidation allowBlank="true" operator="between" prompt="Выберите нужный вариант" promptTitle="Выпадающий список" showDropDown="false" showErrorMessage="true" showInputMessage="true" sqref="B5" type="list">
      <formula1>$D$5:$F$5</formula1>
      <formula2>0</formula2>
    </dataValidation>
  </dataValidations>
  <printOptions headings="false" gridLines="false" gridLinesSet="true" horizontalCentered="false" verticalCentered="false"/>
  <pageMargins left="0.699305555555555" right="0.69930555555555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LibreOffice/6.0.0.3$Windows_x86 LibreOffice_project/64a0f66915f38c6217de274f0aa8e15618924765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2020-01-13T18:04:52Z</dcterms:modified>
  <cp:revision>2</cp:revision>
  <dc:subject/>
  <dc:title/>
</cp:coreProperties>
</file>